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3Y1j3qpuomWAYTUA0Q581XzhFFWy8mhV\08 - QMS\X-Cert\Prijavni obrasci\"/>
    </mc:Choice>
  </mc:AlternateContent>
  <xr:revisionPtr revIDLastSave="0" documentId="13_ncr:1_{FF1513F6-D75E-4E71-AB96-DE2D8D607933}" xr6:coauthVersionLast="47" xr6:coauthVersionMax="47" xr10:uidLastSave="{00000000-0000-0000-0000-000000000000}"/>
  <workbookProtection workbookAlgorithmName="SHA-512" workbookHashValue="PJVoxxXblKo4XJzRKD581qGto/eFMJ1YjZqf2g3RuXj9qEVHfQDdxCyn6kmUU3a+k/rQNxJFDJqL2OTv3gRqhA==" workbookSaltValue="qtZke0ZfcK8cfl5Ikce9GA==" workbookSpinCount="100000" lockStructure="1"/>
  <bookViews>
    <workbookView xWindow="-110" yWindow="-110" windowWidth="38620" windowHeight="21100" firstSheet="3" activeTab="3" xr2:uid="{C067919B-AF03-466D-95EF-4AFE2D37905E}"/>
  </bookViews>
  <sheets>
    <sheet name="Šifarnik" sheetId="8" state="hidden" r:id="rId1"/>
    <sheet name="Rečnik" sheetId="16" state="hidden" r:id="rId2"/>
    <sheet name="Verzije" sheetId="7" state="hidden" r:id="rId3"/>
    <sheet name="General" sheetId="1" r:id="rId4"/>
    <sheet name="Self-Assessment" sheetId="12" r:id="rId5"/>
    <sheet name="PPP" sheetId="2" r:id="rId6"/>
    <sheet name="Project Complexity" sheetId="14" r:id="rId7"/>
    <sheet name="Conducted Activities" sheetId="3" r:id="rId8"/>
    <sheet name="Attended Activities" sheetId="4" r:id="rId9"/>
    <sheet name="References" sheetId="5" r:id="rId10"/>
  </sheets>
  <definedNames>
    <definedName name="ListaDaNe">DaNe[Naziv]</definedName>
    <definedName name="ListaNivoa">Nivoi[Nivo]</definedName>
    <definedName name="ListaTipovaPrijave">TipoviPrijave[Tip prijave]</definedName>
    <definedName name="ListaTipovaProjekata">TipoviProjekata[Tip projekta]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C1" i="5"/>
  <c r="D1" i="4"/>
  <c r="D1" i="3"/>
  <c r="I1" i="14"/>
  <c r="F1" i="2"/>
  <c r="D39" i="12"/>
  <c r="B3" i="14"/>
  <c r="D3" i="1"/>
  <c r="A3" i="1"/>
  <c r="B12" i="14"/>
  <c r="B11" i="14"/>
  <c r="B10" i="14"/>
  <c r="B9" i="14"/>
  <c r="B8" i="14"/>
  <c r="B7" i="14"/>
  <c r="B6" i="14"/>
  <c r="B5" i="14"/>
  <c r="B4" i="14"/>
  <c r="P12" i="14" l="1"/>
  <c r="P11" i="14"/>
  <c r="P10" i="14"/>
  <c r="N9" i="14"/>
  <c r="N7" i="14"/>
  <c r="P5" i="14"/>
  <c r="P4" i="14"/>
  <c r="A29" i="8"/>
  <c r="A30" i="8"/>
  <c r="A23" i="8"/>
  <c r="A24" i="8"/>
  <c r="A25" i="8"/>
  <c r="A19" i="8"/>
  <c r="A18" i="8"/>
  <c r="A3" i="8"/>
  <c r="A4" i="8"/>
  <c r="A5" i="8"/>
  <c r="A6" i="8"/>
  <c r="A7" i="8"/>
  <c r="A8" i="8"/>
  <c r="A9" i="8"/>
  <c r="A10" i="8"/>
  <c r="A11" i="8"/>
  <c r="A12" i="8"/>
  <c r="A13" i="8"/>
  <c r="A14" i="8"/>
  <c r="E2" i="5"/>
  <c r="D2" i="5"/>
  <c r="C2" i="5"/>
  <c r="A1" i="5"/>
  <c r="B2" i="5"/>
  <c r="F48" i="4"/>
  <c r="D48" i="4"/>
  <c r="C48" i="4"/>
  <c r="E48" i="4"/>
  <c r="B48" i="4"/>
  <c r="A47" i="4"/>
  <c r="F25" i="4"/>
  <c r="E25" i="4"/>
  <c r="D25" i="4"/>
  <c r="G25" i="4"/>
  <c r="C25" i="4"/>
  <c r="B25" i="4"/>
  <c r="A24" i="4"/>
  <c r="G2" i="4"/>
  <c r="D2" i="4"/>
  <c r="E2" i="4"/>
  <c r="F2" i="4"/>
  <c r="C2" i="4"/>
  <c r="B2" i="4"/>
  <c r="A1" i="4"/>
  <c r="C71" i="3"/>
  <c r="B71" i="3"/>
  <c r="A70" i="3"/>
  <c r="E71" i="3"/>
  <c r="D71" i="3"/>
  <c r="G48" i="3"/>
  <c r="E48" i="3"/>
  <c r="D48" i="3"/>
  <c r="C48" i="3"/>
  <c r="F48" i="3"/>
  <c r="B48" i="3"/>
  <c r="A47" i="3"/>
  <c r="A24" i="3"/>
  <c r="A1" i="3"/>
  <c r="B25" i="3"/>
  <c r="F25" i="3"/>
  <c r="E25" i="3"/>
  <c r="D25" i="3"/>
  <c r="G25" i="3"/>
  <c r="C25" i="3"/>
  <c r="G2" i="3"/>
  <c r="B2" i="3"/>
  <c r="C2" i="3"/>
  <c r="D2" i="3"/>
  <c r="E2" i="3"/>
  <c r="F2" i="3"/>
  <c r="P2" i="14"/>
  <c r="O8" i="14"/>
  <c r="O2" i="14"/>
  <c r="N2" i="14"/>
  <c r="M2" i="14"/>
  <c r="L2" i="14"/>
  <c r="K2" i="14"/>
  <c r="J2" i="14"/>
  <c r="I2" i="14"/>
  <c r="H2" i="14"/>
  <c r="G2" i="14"/>
  <c r="F2" i="14"/>
  <c r="E2" i="14"/>
  <c r="D2" i="14"/>
  <c r="C2" i="14"/>
  <c r="B2" i="14"/>
  <c r="A1" i="14"/>
  <c r="K2" i="2"/>
  <c r="Q2" i="2"/>
  <c r="P2" i="2"/>
  <c r="O2" i="2"/>
  <c r="N2" i="2"/>
  <c r="M2" i="2"/>
  <c r="L2" i="2"/>
  <c r="J2" i="2"/>
  <c r="I2" i="2"/>
  <c r="H2" i="2"/>
  <c r="G2" i="2"/>
  <c r="F2" i="2"/>
  <c r="E2" i="2"/>
  <c r="D2" i="2"/>
  <c r="C2" i="2"/>
  <c r="B2" i="2"/>
  <c r="A1" i="2"/>
  <c r="D1" i="12"/>
  <c r="H22" i="12"/>
  <c r="H16" i="12"/>
  <c r="H18" i="12"/>
  <c r="H21" i="12"/>
  <c r="H20" i="12"/>
  <c r="H19" i="12"/>
  <c r="H15" i="12"/>
  <c r="C23" i="12"/>
  <c r="H14" i="12"/>
  <c r="C11" i="12"/>
  <c r="H13" i="12"/>
  <c r="C4" i="12"/>
  <c r="H12" i="12"/>
  <c r="C39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1" i="12"/>
  <c r="C20" i="12"/>
  <c r="C19" i="12"/>
  <c r="C18" i="12"/>
  <c r="C17" i="12"/>
  <c r="C16" i="12"/>
  <c r="C15" i="12"/>
  <c r="C14" i="12"/>
  <c r="C13" i="12"/>
  <c r="C12" i="12"/>
  <c r="C9" i="12"/>
  <c r="C8" i="12"/>
  <c r="C7" i="12"/>
  <c r="C6" i="12"/>
  <c r="C5" i="12"/>
  <c r="F2" i="12"/>
  <c r="E2" i="12"/>
  <c r="D2" i="12"/>
  <c r="B2" i="12"/>
  <c r="G4" i="1"/>
  <c r="H4" i="1"/>
  <c r="F4" i="1"/>
  <c r="E4" i="1"/>
  <c r="A4" i="1"/>
  <c r="A6" i="1"/>
  <c r="A32" i="1"/>
  <c r="B29" i="1"/>
  <c r="A31" i="1"/>
  <c r="B28" i="1"/>
  <c r="B27" i="1"/>
  <c r="A25" i="1"/>
  <c r="A23" i="1"/>
  <c r="A22" i="1"/>
  <c r="A21" i="1"/>
  <c r="A20" i="1"/>
  <c r="A19" i="1"/>
  <c r="A18" i="1"/>
  <c r="A16" i="1"/>
  <c r="A13" i="1"/>
  <c r="A12" i="1"/>
  <c r="A11" i="1"/>
  <c r="A10" i="1"/>
  <c r="A9" i="1"/>
  <c r="A8" i="1"/>
  <c r="A7" i="1"/>
  <c r="A5" i="1"/>
  <c r="O6" i="14" l="1"/>
  <c r="O7" i="14"/>
  <c r="P8" i="14"/>
  <c r="O9" i="14"/>
  <c r="P7" i="14"/>
  <c r="P9" i="14"/>
  <c r="N10" i="14"/>
  <c r="N12" i="14"/>
  <c r="O12" i="14"/>
  <c r="P6" i="14"/>
  <c r="O4" i="14"/>
  <c r="O10" i="14"/>
  <c r="N5" i="14"/>
  <c r="O5" i="14"/>
  <c r="N11" i="14"/>
  <c r="N6" i="14"/>
  <c r="O11" i="14"/>
  <c r="N4" i="14"/>
  <c r="N8" i="14"/>
  <c r="O3" i="14"/>
  <c r="N3" i="14"/>
  <c r="P3" i="14" l="1"/>
  <c r="K21" i="12"/>
  <c r="J21" i="12"/>
  <c r="I21" i="12"/>
  <c r="K20" i="12"/>
  <c r="J20" i="12"/>
  <c r="I20" i="12"/>
  <c r="K19" i="12"/>
  <c r="J19" i="12"/>
  <c r="I19" i="12"/>
  <c r="K15" i="12"/>
  <c r="J15" i="12"/>
  <c r="I15" i="12"/>
  <c r="K14" i="12"/>
  <c r="J14" i="12"/>
  <c r="I14" i="12"/>
  <c r="K13" i="12"/>
  <c r="J13" i="12"/>
  <c r="I13" i="12"/>
  <c r="K22" i="12" l="1"/>
  <c r="J22" i="12"/>
  <c r="I22" i="12"/>
  <c r="J16" i="12"/>
  <c r="I16" i="12"/>
  <c r="K16" i="1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<sst xmlns="http://schemas.openxmlformats.org/spreadsheetml/2006/main" count="413" uniqueCount="378">
  <si>
    <t>Ime</t>
  </si>
  <si>
    <t>Prezime</t>
  </si>
  <si>
    <t>Adresa</t>
  </si>
  <si>
    <t>Broj dokumenta</t>
  </si>
  <si>
    <t>Profesija</t>
  </si>
  <si>
    <t>Član profesionalnog udruženja</t>
  </si>
  <si>
    <t>Članski broj</t>
  </si>
  <si>
    <t>Email</t>
  </si>
  <si>
    <t>Kontakt telefon</t>
  </si>
  <si>
    <t>Datum rođenja</t>
  </si>
  <si>
    <t>Obrazovanje</t>
  </si>
  <si>
    <t>Nivo obrazovanja</t>
  </si>
  <si>
    <t>Oblast</t>
  </si>
  <si>
    <t>Datum završetka</t>
  </si>
  <si>
    <t>Obrazovna institucija</t>
  </si>
  <si>
    <t>Tip sertifikacije</t>
  </si>
  <si>
    <t>Nivo</t>
  </si>
  <si>
    <t>Tip prijave</t>
  </si>
  <si>
    <t>Broj sertifikata</t>
  </si>
  <si>
    <t>Validan do</t>
  </si>
  <si>
    <t>Izdat od strane</t>
  </si>
  <si>
    <t>Tip</t>
  </si>
  <si>
    <t>Naziv</t>
  </si>
  <si>
    <t>Klijent</t>
  </si>
  <si>
    <t>Budžet</t>
  </si>
  <si>
    <t>Valuta</t>
  </si>
  <si>
    <t>Referentne osobe</t>
  </si>
  <si>
    <t>Pozicija</t>
  </si>
  <si>
    <t>Uključen u izveštaj</t>
  </si>
  <si>
    <t>Konsultacije koje je sproveo aplikant</t>
  </si>
  <si>
    <t>Klijent/Kompanija</t>
  </si>
  <si>
    <t>Opis konsultantske usluge</t>
  </si>
  <si>
    <t>Početak</t>
  </si>
  <si>
    <t>Završetak</t>
  </si>
  <si>
    <t>Broj sati konsultacija</t>
  </si>
  <si>
    <t>Treninzi koje je sproveo aplikant</t>
  </si>
  <si>
    <t>Naziv treninga</t>
  </si>
  <si>
    <t>Broj članova tima</t>
  </si>
  <si>
    <t>Broj sati treninga</t>
  </si>
  <si>
    <t>Predavanja koja je održao aplikant</t>
  </si>
  <si>
    <t>Univerzitet/Fakultet/Institucija</t>
  </si>
  <si>
    <t>Tema Predavanja</t>
  </si>
  <si>
    <t>Broj sati predavanja</t>
  </si>
  <si>
    <t>Nivo studija</t>
  </si>
  <si>
    <t>Ostale projektne/programske/portfolio aktivnosti koje je sproveo aplikant</t>
  </si>
  <si>
    <t>Aktivnost</t>
  </si>
  <si>
    <t>Treninzi koje je pohađao aplikant</t>
  </si>
  <si>
    <t>Sadržaj treninga</t>
  </si>
  <si>
    <t>Broj sati</t>
  </si>
  <si>
    <t>Teorija</t>
  </si>
  <si>
    <t>Praksa</t>
  </si>
  <si>
    <t>Profesionalna sertifikacija</t>
  </si>
  <si>
    <t>Sertifikaciono telo</t>
  </si>
  <si>
    <t>Naziv sertifikata</t>
  </si>
  <si>
    <t>Elementi kompetencija</t>
  </si>
  <si>
    <t>Ostale aktivnosti</t>
  </si>
  <si>
    <t>Naziv aktivnosti</t>
  </si>
  <si>
    <t>Datum sertifikata</t>
  </si>
  <si>
    <t>Ime i prezime</t>
  </si>
  <si>
    <t>Naziv projekta</t>
  </si>
  <si>
    <t>Radno angažovanje kao tim lider (% trajanja)</t>
  </si>
  <si>
    <t>Pregled projekata/programa/portfolia</t>
  </si>
  <si>
    <t>Radno angažovanje kao projektni menadžer (% trajanja)</t>
  </si>
  <si>
    <t>Radno angažovanje kao program menadžer (% trajanja)</t>
  </si>
  <si>
    <t>Radno angažovanje kao portfolio menadžer (% trajanja)</t>
  </si>
  <si>
    <t>Radno angažovanje kao pozicija koja nije navedena (% trajanja)</t>
  </si>
  <si>
    <t>Važi do</t>
  </si>
  <si>
    <t>Nivoi</t>
  </si>
  <si>
    <t>IPMA Nivo A - Portfolio</t>
  </si>
  <si>
    <t>IPMA Nivo A - Program</t>
  </si>
  <si>
    <t>IPMA Nivo A - Projekat</t>
  </si>
  <si>
    <t>IPMA Nivo B - Portfolio</t>
  </si>
  <si>
    <t>IPMA Nivo B - Program</t>
  </si>
  <si>
    <t>IPMA Nivo B - Projekat</t>
  </si>
  <si>
    <t>IPMA Nivo C</t>
  </si>
  <si>
    <t>IPMA Nivo D</t>
  </si>
  <si>
    <t>#</t>
  </si>
  <si>
    <t>1 = Ne ili malo verovatno;  2 = Možda ili verovatno;  3 = Veoma verovatno ili definitivno</t>
  </si>
  <si>
    <t>Perspektiva</t>
  </si>
  <si>
    <t>Strategija</t>
  </si>
  <si>
    <t>Moć i interes</t>
  </si>
  <si>
    <t>Kultura i vrednosti</t>
  </si>
  <si>
    <t>Ljudi</t>
  </si>
  <si>
    <t>Samopromišljanje i upravljanje sobom</t>
  </si>
  <si>
    <t>Lični integritet i pouzdanost</t>
  </si>
  <si>
    <t>Lična komunikacija</t>
  </si>
  <si>
    <t>Odnosi i angažovanost</t>
  </si>
  <si>
    <t>Liderstvo</t>
  </si>
  <si>
    <t>Timski rad</t>
  </si>
  <si>
    <t>Konflikt i kriza</t>
  </si>
  <si>
    <t>Snalažljivost</t>
  </si>
  <si>
    <t>Pregovaranje</t>
  </si>
  <si>
    <t>Usmerenost na rezultate</t>
  </si>
  <si>
    <t>Osmišljavanje projekta</t>
  </si>
  <si>
    <t>Zahtevi i ciljevi</t>
  </si>
  <si>
    <t>Obuhvat</t>
  </si>
  <si>
    <t>Vreme</t>
  </si>
  <si>
    <t>Organizovanje i informisanje</t>
  </si>
  <si>
    <t>Kvalitet</t>
  </si>
  <si>
    <t>Finansiranje</t>
  </si>
  <si>
    <t>Resursi</t>
  </si>
  <si>
    <t>Nabavka</t>
  </si>
  <si>
    <t>Planiranje i kontrola</t>
  </si>
  <si>
    <t>Rizik i šansa</t>
  </si>
  <si>
    <t>Promena i transformacija</t>
  </si>
  <si>
    <t>Ukupno</t>
  </si>
  <si>
    <t>Upravljanje, strukture i procesi</t>
  </si>
  <si>
    <t>Usklađenost, standardi i propisi</t>
  </si>
  <si>
    <t>Zainteresoavne strane</t>
  </si>
  <si>
    <t>Izbor i ravnoteža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</si>
  <si>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</si>
  <si>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</si>
  <si>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</si>
  <si>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</si>
  <si>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</si>
  <si>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</si>
  <si>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</si>
  <si>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</si>
  <si>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</si>
  <si>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</si>
  <si>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</si>
  <si>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</si>
  <si>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</si>
  <si>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</si>
  <si>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</si>
  <si>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</si>
  <si>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</si>
  <si>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</si>
  <si>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</si>
  <si>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</si>
  <si>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</si>
  <si>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</si>
  <si>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</si>
  <si>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</si>
  <si>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5.5.10</t>
  </si>
  <si>
    <t>5.5.11</t>
  </si>
  <si>
    <t>5.5.12</t>
  </si>
  <si>
    <t>5.5.13</t>
  </si>
  <si>
    <t>5.5.14</t>
  </si>
  <si>
    <t>Veštine i sposobnosti</t>
  </si>
  <si>
    <t>Znanje</t>
  </si>
  <si>
    <t>Element kompetencije</t>
  </si>
  <si>
    <t>Napomena, komentar (opciono)</t>
  </si>
  <si>
    <t>Samoocena je informativnog karaktera.</t>
  </si>
  <si>
    <t>Napomene, komentari, dokazi (Opciono)</t>
  </si>
  <si>
    <t>Ciljevi i procena rezultata (složenost rezultata)</t>
  </si>
  <si>
    <t>Procesi, metode, alati i tehnike (složenost procesa)</t>
  </si>
  <si>
    <t>Resursi koji uključuju finansije (složenost koja se odnosi na ulaz)</t>
  </si>
  <si>
    <t>Rizik i šanse (složenost povezana sa rizikom)</t>
  </si>
  <si>
    <t>Zainteresovane strane i integracija (složenost strategije)</t>
  </si>
  <si>
    <t>Odnosi sa stalnim organizacijama (složenost organizacije)</t>
  </si>
  <si>
    <t>Kulturni i društveni kontekst (socio-kulturna složenost)</t>
  </si>
  <si>
    <t>Liderstvo, timski rad i odluke (složenost koja je povezana sa timom)</t>
  </si>
  <si>
    <t>Stepen inovacije i opšti uslovi (složenost koja se odnosi na inovacije)</t>
  </si>
  <si>
    <t>Zahtev za koordinacijom (složenost koja je povezana sa autonomijom)</t>
  </si>
  <si>
    <t>Prosečna ocena</t>
  </si>
  <si>
    <t>Potrebna prosečna ocena za nivo za koji se aplicira</t>
  </si>
  <si>
    <t>Složenost</t>
  </si>
  <si>
    <t>Zadovoljava kriterijum</t>
  </si>
  <si>
    <t>Trajanje
(u mesecima)</t>
  </si>
  <si>
    <t>Izmena</t>
  </si>
  <si>
    <t>Autor</t>
  </si>
  <si>
    <t>Miloš Kozomara</t>
  </si>
  <si>
    <t>Datum</t>
  </si>
  <si>
    <t>Sertifikacija</t>
  </si>
  <si>
    <t>Resertifikacija</t>
  </si>
  <si>
    <t>Važeći dokument</t>
  </si>
  <si>
    <t>1.0</t>
  </si>
  <si>
    <t>Inicijalna verzija</t>
  </si>
  <si>
    <t>Datum prijave</t>
  </si>
  <si>
    <t>Slažem se sa uslovima</t>
  </si>
  <si>
    <t>Želim da me X-Cert putem mejla obaveštava o aktuelnim dešavanjima</t>
  </si>
  <si>
    <t>Potrebna su mi prilagođavanja posebnim potrebama (disleksija, slabovidost i drugo)</t>
  </si>
  <si>
    <t>Uslovi</t>
  </si>
  <si>
    <t>Jezik/Language</t>
  </si>
  <si>
    <t>Srpski</t>
  </si>
  <si>
    <t>English</t>
  </si>
  <si>
    <t>Key</t>
  </si>
  <si>
    <t>Podaci o Aplikantu</t>
  </si>
  <si>
    <t>Znanje (1-3)</t>
  </si>
  <si>
    <t>Projekat</t>
  </si>
  <si>
    <t>Program</t>
  </si>
  <si>
    <t>Portfolio</t>
  </si>
  <si>
    <t>Engleski</t>
  </si>
  <si>
    <t>Project</t>
  </si>
  <si>
    <t>Programme</t>
  </si>
  <si>
    <t>Name</t>
  </si>
  <si>
    <t>First Name</t>
  </si>
  <si>
    <t>Last Name</t>
  </si>
  <si>
    <t>Terms and Conditions</t>
  </si>
  <si>
    <t>Address</t>
  </si>
  <si>
    <t>Date of Birth</t>
  </si>
  <si>
    <t>Da</t>
  </si>
  <si>
    <t>Ne</t>
  </si>
  <si>
    <t>Nije izabran Nivo Sertifikacije na Sheet-u Osnovi Podaci</t>
  </si>
  <si>
    <t>Nisu popunjeni indikatori složenosti (Kolone C-L)</t>
  </si>
  <si>
    <t>Yes</t>
  </si>
  <si>
    <t>No</t>
  </si>
  <si>
    <t>Ne, prosečna oscena manja od potrebne prosečne ocene</t>
  </si>
  <si>
    <t>Organizator treninga</t>
  </si>
  <si>
    <t>Ukupno angažovanje tima (u danima)</t>
  </si>
  <si>
    <t>IPMA Level A - Agile</t>
  </si>
  <si>
    <t>IPMA Level A - Portfolio</t>
  </si>
  <si>
    <t>IPMA Level B - Agile</t>
  </si>
  <si>
    <t>IPMA Level B - Portfolio</t>
  </si>
  <si>
    <t>IPMA Level C - Agile</t>
  </si>
  <si>
    <t>IPMA Level C</t>
  </si>
  <si>
    <t>IPMA Level D - Agile</t>
  </si>
  <si>
    <t>IPMA Level D</t>
  </si>
  <si>
    <t>IPMA Level A - Project</t>
  </si>
  <si>
    <t>IPMA Level A - Programme</t>
  </si>
  <si>
    <t>IPMA Level B - Programme</t>
  </si>
  <si>
    <t>IPMA Level B - Project</t>
  </si>
  <si>
    <t>Certification</t>
  </si>
  <si>
    <t>Re-certification</t>
  </si>
  <si>
    <t>Tipovi Prijave</t>
  </si>
  <si>
    <t>Tipovi Projekata</t>
  </si>
  <si>
    <t>Tip projekta</t>
  </si>
  <si>
    <t>DaNe</t>
  </si>
  <si>
    <t>Veštine i sposobnosti (1-3)</t>
  </si>
  <si>
    <t>Skills and Abilities (1-3)</t>
  </si>
  <si>
    <t>Applicant Information</t>
  </si>
  <si>
    <t>Contact Phone</t>
  </si>
  <si>
    <t>Valid Document</t>
  </si>
  <si>
    <t>Document Number</t>
  </si>
  <si>
    <t>Valid Until</t>
  </si>
  <si>
    <t>Profession</t>
  </si>
  <si>
    <t>Member of Professional Association</t>
  </si>
  <si>
    <t>Membership Number</t>
  </si>
  <si>
    <t>Certification Type</t>
  </si>
  <si>
    <t>Application Type</t>
  </si>
  <si>
    <t>Level</t>
  </si>
  <si>
    <t>Certificate Number</t>
  </si>
  <si>
    <t>Issued By</t>
  </si>
  <si>
    <t>Application Date</t>
  </si>
  <si>
    <t>I Agree with the Terms</t>
  </si>
  <si>
    <t>I want X-Cert to notify me via email about current events</t>
  </si>
  <si>
    <t>I need accommodations for special needs (dyslexia, low vision, etc.)</t>
  </si>
  <si>
    <t>Education</t>
  </si>
  <si>
    <t>Education Level</t>
  </si>
  <si>
    <t>Field</t>
  </si>
  <si>
    <t>Graduation Date</t>
  </si>
  <si>
    <t>Educational Institution</t>
  </si>
  <si>
    <t>1 = No or unlikely; 2 = Maybe or probably; 3 = Very likely or definitely</t>
  </si>
  <si>
    <t>Competence Element</t>
  </si>
  <si>
    <t>Knowledge (1-3)</t>
  </si>
  <si>
    <t>Note, Comment (optional)</t>
  </si>
  <si>
    <t>Perspective</t>
  </si>
  <si>
    <t>Strategy</t>
  </si>
  <si>
    <t>Management, Structures, and Processes</t>
  </si>
  <si>
    <t>Compliance, Standards, and Regulations</t>
  </si>
  <si>
    <t>Power and Interest</t>
  </si>
  <si>
    <t>Culture and Values</t>
  </si>
  <si>
    <t>People</t>
  </si>
  <si>
    <t>Self-reflection and Self-management</t>
  </si>
  <si>
    <t>Personal Integrity and Reliability</t>
  </si>
  <si>
    <t>Personal Communication</t>
  </si>
  <si>
    <t>Relationships and Engagement</t>
  </si>
  <si>
    <t>Leadership</t>
  </si>
  <si>
    <t>Teamwork</t>
  </si>
  <si>
    <t>Conflict and Crisis</t>
  </si>
  <si>
    <t>Resourcefulness</t>
  </si>
  <si>
    <t>Negotiation</t>
  </si>
  <si>
    <t>Result Orientation</t>
  </si>
  <si>
    <t>Practice</t>
  </si>
  <si>
    <t>Project Design</t>
  </si>
  <si>
    <t>Requirements and Goals</t>
  </si>
  <si>
    <t>Scope</t>
  </si>
  <si>
    <t>Time</t>
  </si>
  <si>
    <t>Organizing and Informing</t>
  </si>
  <si>
    <t>Quality</t>
  </si>
  <si>
    <t>Financing</t>
  </si>
  <si>
    <t>Resources</t>
  </si>
  <si>
    <t>Procurement</t>
  </si>
  <si>
    <t>Planning and Control</t>
  </si>
  <si>
    <t>Risk and Opportunity</t>
  </si>
  <si>
    <t>Stakeholders</t>
  </si>
  <si>
    <t>Change and Transformation</t>
  </si>
  <si>
    <t>Choice and Balance</t>
  </si>
  <si>
    <t>Self-assessment is informative.</t>
  </si>
  <si>
    <t>Knowledge</t>
  </si>
  <si>
    <t>Total</t>
  </si>
  <si>
    <t>Skills and Abilities</t>
  </si>
  <si>
    <t>Project/Program/Portfolio Overview</t>
  </si>
  <si>
    <t>Type</t>
  </si>
  <si>
    <t>Client</t>
  </si>
  <si>
    <t>Work Engagement as Team Leader (% of duration)</t>
  </si>
  <si>
    <t>Work Engagement as Project Manager (% of duration)</t>
  </si>
  <si>
    <t>Work Engagement as Program Manager (% of duration)</t>
  </si>
  <si>
    <t>Work Engagement as Portfolio Manager (% of duration)</t>
  </si>
  <si>
    <t>Work Engagement in a Position Not Listed (% of duration)</t>
  </si>
  <si>
    <t>Duration (in months)</t>
  </si>
  <si>
    <t>Total Team Engagement (in days)</t>
  </si>
  <si>
    <t>Budget</t>
  </si>
  <si>
    <t>Currency</t>
  </si>
  <si>
    <t>Included in the Report</t>
  </si>
  <si>
    <t>Reference Persons</t>
  </si>
  <si>
    <t>Project Name</t>
  </si>
  <si>
    <t>Objectives and Outcome Assessment (complexity of results)</t>
  </si>
  <si>
    <t>Processes, Methods, Tools, and Techniques (complexity of processes)</t>
  </si>
  <si>
    <t>Resources Including Finances (complexity of inputs)</t>
  </si>
  <si>
    <t>Risk and Opportunity (complexity related to risk)</t>
  </si>
  <si>
    <t>Stakeholders and Integration (complexity of strategy)</t>
  </si>
  <si>
    <t>Relationships with Permanent Organizations (organizational complexity)</t>
  </si>
  <si>
    <t>Cultural and Social Context (socio-cultural complexity)</t>
  </si>
  <si>
    <t>Leadership, Teamwork, and Decision-making (complexity related to the team)</t>
  </si>
  <si>
    <t>Degree of Innovation and General Conditions (complexity related to innovation)</t>
  </si>
  <si>
    <t>Coordination Requirement (complexity related to autonomy)</t>
  </si>
  <si>
    <t>Notes, Comments, Evidence (Optional)</t>
  </si>
  <si>
    <t>Average Rating</t>
  </si>
  <si>
    <t>Required Average Rating for the Applied Level</t>
  </si>
  <si>
    <t>Meets Criteria</t>
  </si>
  <si>
    <t>Certification Level Not Selected on the Basic Data Sheet</t>
  </si>
  <si>
    <t>Complexity Indicators Not Filled In (Columns C-L)</t>
  </si>
  <si>
    <t>No, Average Score Below the Required Average Score</t>
  </si>
  <si>
    <t>Consultations Conducted by the Applicant</t>
  </si>
  <si>
    <t>Client/Company</t>
  </si>
  <si>
    <t>Description of Consulting Service</t>
  </si>
  <si>
    <t>Start</t>
  </si>
  <si>
    <t>End</t>
  </si>
  <si>
    <t>Number of Team Members</t>
  </si>
  <si>
    <t>Number of Consulting Hours</t>
  </si>
  <si>
    <t>Trainings Conducted by the Applicant</t>
  </si>
  <si>
    <t>Training Name</t>
  </si>
  <si>
    <t>Number of Training Hours</t>
  </si>
  <si>
    <t>Lectures Delivered by the Applicant</t>
  </si>
  <si>
    <t>University/College/Institution</t>
  </si>
  <si>
    <t>Lecture Topic</t>
  </si>
  <si>
    <t>Number of Lecture Hours</t>
  </si>
  <si>
    <t>Study Level</t>
  </si>
  <si>
    <t>Other Project/Program/Portfolio Activities Conducted by the Applicant</t>
  </si>
  <si>
    <t>Position</t>
  </si>
  <si>
    <t>Activity</t>
  </si>
  <si>
    <t>Trainings Attended by the Applicant</t>
  </si>
  <si>
    <t>Training Organizer</t>
  </si>
  <si>
    <t>Training Content</t>
  </si>
  <si>
    <t>Number of Hours</t>
  </si>
  <si>
    <t>Theory</t>
  </si>
  <si>
    <t>Professional Certification</t>
  </si>
  <si>
    <t>Certification Body</t>
  </si>
  <si>
    <t>Certificate Name</t>
  </si>
  <si>
    <t>Competency Elements</t>
  </si>
  <si>
    <t>Other Activities</t>
  </si>
  <si>
    <t>Activity Name</t>
  </si>
  <si>
    <t>Certificate Date</t>
  </si>
  <si>
    <t>First Name and Last Name</t>
  </si>
  <si>
    <t>1 - Srpski</t>
  </si>
  <si>
    <t>IPMA Nivo A - Agilno okruženje</t>
  </si>
  <si>
    <t>IPMA Nivo B - Agilno okruženje</t>
  </si>
  <si>
    <t>IPMA Nivo C - Agilno okruženje</t>
  </si>
  <si>
    <t>IPMA Nivo D - Agilno okruženje</t>
  </si>
  <si>
    <t>Aplikant je u obavezi da poštuje pravila i procedure IPMA 4-L-C sistema sertifikacije, uključujući:
●	Vlasništvo i korišćenje sertifikata;
●	Proceduru sertifikacije X-Cert;
●	Finansijske odredbe i uslove X-Cert;
●	IPMA etički kodeks;
●	Proces žalbi i primedbi X-Cert.
Aplikant je u obavezi da se saglasi sa čuvanjem i korišćenjem njegovog imena i podataka o sertifikatu u bazi podataka X-Cert i IPMA, za potrebe IPMA validacije, odnosno za potrebe provere verodostojnossti informacija pomoću referentnih osoba imenovanih u prijavi.</t>
  </si>
  <si>
    <t>The applicant is obliged to comply with the rules and procedures of the IPMA 4-L-C certification system, including:
● Ownership and use of certificates;
●X-Cert certification procedure;
● Financial terms and conditions of X-Cert;
● IPMA code of ethics;
● Process of appeals and objections X-Cert.
The applicant is obliged to agree to the storage and use of his name and certificate data in the X-Cert and IPMA database, for the purposes of IPMA validation, i.e. for the purposes of verifying the credibility of the information using the reference persons named in the application.</t>
  </si>
  <si>
    <t>1.1</t>
  </si>
  <si>
    <t>Sažet opis (do 100 reči)</t>
  </si>
  <si>
    <t>Brief Description (up to 100 words)</t>
  </si>
  <si>
    <t>* Labela 75 izmenjana, dodat potreban broj reči.
* Smanjen font za opis projekata na PPP
* Dodata validacija i opis za Složenost projekta (brojevi do 1 do 4)</t>
  </si>
  <si>
    <t>1.2</t>
  </si>
  <si>
    <t>Složenost projekata (1 - Veoma niska, 2 - Niska, 3 - Visoka, 4 - Veoma visoka)</t>
  </si>
  <si>
    <t>Project Complexity (1 - Very low, 2 - Low, 3 - High, - Very high)</t>
  </si>
  <si>
    <t>* U Sheet-u Složenost projekata dodat opis za svaki broj od 1 do 4
* Labela 88 izmenjena, dodata kompleksnost
* Ukinute validacije na pojedinim Sheet-ovima
* Dodato po 10 redova u tabelama održanih i pohađanih aktivnosti</t>
  </si>
  <si>
    <t>Za IPMA Nivo D kolonu 'Veštine i sposobnosti' nije potrebno popunjavati</t>
  </si>
  <si>
    <t>For IPMA Level D column 'Skill and Abilities' is not neccecary</t>
  </si>
  <si>
    <t>Za IPMA Nivo D - Agilno okruženje kolonu 'Veštine i sposobnosti' nije potrebno popunjavati</t>
  </si>
  <si>
    <t>For IPMA Level D - Agile column 'Skill and Abilities' is not neccecary</t>
  </si>
  <si>
    <t>Za IPMA Nivo D nije potrebno popunjavati</t>
  </si>
  <si>
    <t>Skip for IPMA Level D</t>
  </si>
  <si>
    <t>Za IPMA Nivo D - Agilno okruženje nije potrebno popunjavati</t>
  </si>
  <si>
    <t>Skip for IPMA Level D - Agile</t>
  </si>
  <si>
    <t>Samoocena</t>
  </si>
  <si>
    <t>Ostalo</t>
  </si>
  <si>
    <t>* Nazivi Sheet-ova na engleskom
* Dodat ISO 9001 logo na General Sheet-u
* Dodat prevod za poruku kad nije potrebno popunjavati neki Sheet</t>
  </si>
  <si>
    <t>Prevodi</t>
  </si>
  <si>
    <t>Company</t>
  </si>
  <si>
    <t>Firma</t>
  </si>
  <si>
    <t>1.3</t>
  </si>
  <si>
    <t>1.4</t>
  </si>
  <si>
    <t>* Dodato polje za firmu na General Sheet-u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</si>
</sst>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i/>
      <sz val="11"/>
      <color rgb="FF7F7F7F"/>
      <name val="Aptos Narrow"/>
      <family val="2"/>
      <charset val="238"/>
      <scheme val="minor"/>
    </font>
    <font>
      <b/>
      <sz val="15"/>
      <color theme="3"/>
      <name val="Arial"/>
      <family val="2"/>
    </font>
    <font>
      <sz val="10"/>
      <color theme="1"/>
      <name val="Arial"/>
      <family val="2"/>
    </font>
    <font>
      <b/>
      <sz val="11"/>
      <color rgb="FFFA7D00"/>
      <name val="Arial"/>
      <family val="2"/>
    </font>
    <font>
      <b/>
      <sz val="15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rgb="FFFF0000"/>
      <name val="Arial"/>
      <family val="2"/>
    </font>
    <font>
      <b/>
      <sz val="15"/>
      <color rgb="FFFF0000"/>
      <name val="Aptos Narrow"/>
      <family val="2"/>
      <scheme val="minor"/>
    </font>
    <font>
      <b/>
      <sz val="15"/>
      <color rgb="FFFF00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4"/>
      <color theme="3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ck">
        <color theme="4"/>
      </top>
      <bottom style="hair">
        <color auto="1"/>
      </bottom>
      <diagonal/>
    </border>
  </borders>
  <cellStyleXfs count="20">
    <xf numFmtId="0" fontId="0" fillId="0" borderId="0"/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1" fillId="2" borderId="3" applyNumberFormat="0" applyFont="0" applyAlignment="0" applyProtection="0"/>
    <xf numFmtId="0" fontId="5" fillId="3" borderId="4" applyNumberFormat="0" applyAlignment="0" applyProtection="0"/>
    <xf numFmtId="0" fontId="6" fillId="0" borderId="0"/>
    <xf numFmtId="0" fontId="9" fillId="0" borderId="0"/>
    <xf numFmtId="0" fontId="8" fillId="0" borderId="0">
      <alignment horizontal="center" vertical="center"/>
    </xf>
    <xf numFmtId="0" fontId="11" fillId="0" borderId="0">
      <alignment vertical="center"/>
    </xf>
    <xf numFmtId="0" fontId="7" fillId="0" borderId="0">
      <alignment horizontal="left" vertical="center"/>
    </xf>
    <xf numFmtId="0" fontId="12" fillId="0" borderId="0">
      <alignment vertical="center"/>
    </xf>
    <xf numFmtId="0" fontId="13" fillId="0" borderId="0"/>
    <xf numFmtId="0" fontId="17" fillId="0" borderId="0" applyNumberFormat="0" applyFill="0" applyBorder="0" applyAlignment="0" applyProtection="0"/>
    <xf numFmtId="0" fontId="22" fillId="0" borderId="0">
      <alignment vertical="center"/>
    </xf>
    <xf numFmtId="0" fontId="10" fillId="0" borderId="0">
      <alignment horizontal="center" vertical="center"/>
    </xf>
    <xf numFmtId="0" fontId="16" fillId="0" borderId="0">
      <alignment horizontal="left" vertical="center"/>
    </xf>
    <xf numFmtId="0" fontId="19" fillId="0" borderId="0">
      <alignment horizontal="left" vertical="center"/>
    </xf>
    <xf numFmtId="0" fontId="23" fillId="0" borderId="0">
      <alignment vertical="center"/>
    </xf>
    <xf numFmtId="0" fontId="24" fillId="0" borderId="0"/>
    <xf numFmtId="0" fontId="29" fillId="7" borderId="4" applyNumberFormat="0" applyAlignment="0" applyProtection="0"/>
  </cellStyleXfs>
  <cellXfs count="71">
    <xf numFmtId="0" fontId="0" fillId="0" borderId="0" xfId="0"/>
    <xf numFmtId="0" fontId="31" fillId="2" borderId="3" xfId="3" applyFont="1" applyAlignment="1" applyProtection="1">
      <alignment horizontal="center" vertical="center" wrapText="1"/>
      <protection hidden="1"/>
    </xf>
    <xf numFmtId="0" fontId="29" fillId="7" borderId="4" xfId="19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vertical="center" wrapText="1"/>
      <protection hidden="1"/>
    </xf>
    <xf numFmtId="0" fontId="2" fillId="0" borderId="1" xfId="1" applyAlignment="1" applyProtection="1">
      <alignment vertical="center"/>
      <protection hidden="1"/>
    </xf>
    <xf numFmtId="0" fontId="2" fillId="0" borderId="1" xfId="1" applyAlignment="1" applyProtection="1">
      <alignment vertical="center" wrapText="1"/>
      <protection hidden="1"/>
    </xf>
    <xf numFmtId="0" fontId="2" fillId="0" borderId="0" xfId="1" applyBorder="1" applyAlignment="1" applyProtection="1">
      <alignment vertical="center"/>
      <protection hidden="1"/>
    </xf>
    <xf numFmtId="0" fontId="2" fillId="0" borderId="0" xfId="1" applyBorder="1" applyAlignment="1" applyProtection="1">
      <alignment vertical="center" wrapText="1"/>
      <protection hidden="1"/>
    </xf>
    <xf numFmtId="0" fontId="3" fillId="2" borderId="3" xfId="3" applyFont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 wrapText="1"/>
      <protection locked="0" hidden="1"/>
    </xf>
    <xf numFmtId="0" fontId="3" fillId="2" borderId="2" xfId="3" applyFont="1" applyBorder="1" applyAlignment="1" applyProtection="1">
      <alignment horizontal="center" vertical="center" wrapText="1"/>
      <protection hidden="1"/>
    </xf>
    <xf numFmtId="164" fontId="0" fillId="0" borderId="2" xfId="0" applyNumberFormat="1" applyBorder="1" applyAlignment="1" applyProtection="1">
      <alignment vertical="center" wrapText="1"/>
      <protection locked="0" hidden="1"/>
    </xf>
    <xf numFmtId="0" fontId="4" fillId="0" borderId="2" xfId="2" applyBorder="1" applyAlignment="1" applyProtection="1">
      <alignment vertical="center" wrapText="1"/>
      <protection locked="0" hidden="1"/>
    </xf>
    <xf numFmtId="0" fontId="0" fillId="0" borderId="0" xfId="0" applyAlignment="1" applyProtection="1">
      <alignment horizontal="righ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vertical="center"/>
      <protection hidden="1"/>
    </xf>
    <xf numFmtId="0" fontId="15" fillId="0" borderId="0" xfId="6" applyFont="1" applyAlignment="1" applyProtection="1">
      <alignment vertical="center"/>
      <protection hidden="1"/>
    </xf>
    <xf numFmtId="0" fontId="14" fillId="5" borderId="5" xfId="9" applyFont="1" applyFill="1" applyBorder="1" applyAlignment="1" applyProtection="1">
      <alignment vertical="center"/>
      <protection hidden="1"/>
    </xf>
    <xf numFmtId="0" fontId="14" fillId="5" borderId="7" xfId="9" applyFont="1" applyFill="1" applyBorder="1" applyAlignment="1" applyProtection="1">
      <alignment vertical="center"/>
      <protection hidden="1"/>
    </xf>
    <xf numFmtId="0" fontId="15" fillId="6" borderId="8" xfId="7" applyFont="1" applyFill="1" applyBorder="1" applyAlignment="1" applyProtection="1">
      <alignment horizontal="center" vertical="center" wrapText="1"/>
      <protection hidden="1"/>
    </xf>
    <xf numFmtId="0" fontId="10" fillId="6" borderId="5" xfId="7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Protection="1">
      <protection hidden="1"/>
    </xf>
    <xf numFmtId="0" fontId="21" fillId="0" borderId="1" xfId="1" applyFont="1" applyAlignment="1" applyProtection="1">
      <alignment vertical="center"/>
      <protection hidden="1"/>
    </xf>
    <xf numFmtId="0" fontId="21" fillId="0" borderId="1" xfId="1" applyFont="1" applyAlignment="1" applyProtection="1">
      <alignment horizontal="center" vertical="center"/>
      <protection hidden="1"/>
    </xf>
    <xf numFmtId="0" fontId="19" fillId="0" borderId="0" xfId="6" applyFont="1" applyAlignment="1" applyProtection="1">
      <alignment vertical="center"/>
      <protection hidden="1"/>
    </xf>
    <xf numFmtId="0" fontId="16" fillId="0" borderId="5" xfId="6" applyFont="1" applyBorder="1" applyAlignment="1" applyProtection="1">
      <alignment horizontal="right" vertical="center"/>
      <protection hidden="1"/>
    </xf>
    <xf numFmtId="0" fontId="16" fillId="0" borderId="7" xfId="9" applyFont="1" applyBorder="1" applyProtection="1">
      <alignment horizontal="left" vertical="center"/>
      <protection hidden="1"/>
    </xf>
    <xf numFmtId="0" fontId="16" fillId="4" borderId="6" xfId="9" applyFont="1" applyFill="1" applyBorder="1" applyAlignment="1" applyProtection="1">
      <alignment horizontal="center" vertical="center"/>
      <protection hidden="1"/>
    </xf>
    <xf numFmtId="0" fontId="16" fillId="0" borderId="0" xfId="9" applyFont="1" applyAlignment="1" applyProtection="1">
      <alignment horizontal="center" vertical="center"/>
      <protection hidden="1"/>
    </xf>
    <xf numFmtId="0" fontId="19" fillId="0" borderId="0" xfId="6" applyFont="1" applyAlignment="1" applyProtection="1">
      <alignment horizontal="center" vertical="center"/>
      <protection hidden="1"/>
    </xf>
    <xf numFmtId="0" fontId="19" fillId="0" borderId="0" xfId="6" applyFont="1" applyAlignment="1" applyProtection="1">
      <alignment horizontal="left" vertical="center"/>
      <protection hidden="1"/>
    </xf>
    <xf numFmtId="0" fontId="21" fillId="0" borderId="1" xfId="1" applyFont="1" applyAlignment="1" applyProtection="1">
      <alignment horizontal="left" vertical="center"/>
      <protection hidden="1"/>
    </xf>
    <xf numFmtId="0" fontId="18" fillId="0" borderId="1" xfId="1" applyFont="1" applyAlignment="1" applyProtection="1">
      <alignment horizontal="center" vertical="center"/>
      <protection hidden="1"/>
    </xf>
    <xf numFmtId="0" fontId="16" fillId="4" borderId="6" xfId="9" applyFont="1" applyFill="1" applyBorder="1" applyProtection="1">
      <alignment horizontal="left" vertical="center"/>
      <protection hidden="1"/>
    </xf>
    <xf numFmtId="0" fontId="20" fillId="3" borderId="4" xfId="4" applyFont="1" applyAlignment="1" applyProtection="1">
      <alignment horizontal="left" vertical="center"/>
      <protection hidden="1"/>
    </xf>
    <xf numFmtId="0" fontId="20" fillId="3" borderId="4" xfId="4" applyFont="1" applyAlignment="1" applyProtection="1">
      <alignment horizontal="center" vertical="center"/>
      <protection hidden="1"/>
    </xf>
    <xf numFmtId="0" fontId="16" fillId="0" borderId="0" xfId="9" applyFont="1" applyProtection="1">
      <alignment horizontal="left" vertical="center"/>
      <protection hidden="1"/>
    </xf>
    <xf numFmtId="0" fontId="19" fillId="0" borderId="0" xfId="6" applyFont="1" applyAlignment="1" applyProtection="1">
      <alignment vertical="center" wrapText="1"/>
      <protection hidden="1"/>
    </xf>
    <xf numFmtId="0" fontId="17" fillId="0" borderId="0" xfId="12" applyAlignment="1" applyProtection="1">
      <alignment horizontal="left" vertical="center"/>
      <protection hidden="1"/>
    </xf>
    <xf numFmtId="0" fontId="26" fillId="0" borderId="0" xfId="9" applyFont="1" applyProtection="1">
      <alignment horizontal="left" vertical="center"/>
      <protection hidden="1"/>
    </xf>
    <xf numFmtId="0" fontId="16" fillId="4" borderId="6" xfId="9" applyFont="1" applyFill="1" applyBorder="1" applyAlignment="1" applyProtection="1">
      <alignment horizontal="center" vertical="center"/>
      <protection locked="0" hidden="1"/>
    </xf>
    <xf numFmtId="0" fontId="16" fillId="4" borderId="9" xfId="9" applyFont="1" applyFill="1" applyBorder="1" applyAlignment="1" applyProtection="1">
      <alignment vertical="top"/>
      <protection locked="0" hidden="1"/>
    </xf>
    <xf numFmtId="0" fontId="16" fillId="4" borderId="5" xfId="9" applyFont="1" applyFill="1" applyBorder="1" applyAlignment="1" applyProtection="1">
      <alignment vertical="center"/>
      <protection locked="0" hidden="1"/>
    </xf>
    <xf numFmtId="0" fontId="16" fillId="4" borderId="9" xfId="9" applyFont="1" applyFill="1" applyBorder="1" applyAlignment="1" applyProtection="1">
      <alignment vertical="center"/>
      <protection locked="0" hidden="1"/>
    </xf>
    <xf numFmtId="0" fontId="25" fillId="0" borderId="0" xfId="0" applyFont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locked="0" hidden="1"/>
    </xf>
    <xf numFmtId="0" fontId="2" fillId="0" borderId="1" xfId="1" applyAlignment="1" applyProtection="1">
      <alignment horizontal="left" vertical="center"/>
      <protection hidden="1"/>
    </xf>
    <xf numFmtId="0" fontId="28" fillId="0" borderId="1" xfId="1" applyFont="1" applyAlignment="1" applyProtection="1">
      <alignment horizontal="left" vertical="center"/>
      <protection hidden="1"/>
    </xf>
    <xf numFmtId="0" fontId="19" fillId="0" borderId="0" xfId="16" applyProtection="1">
      <alignment horizontal="left" vertical="center"/>
      <protection hidden="1"/>
    </xf>
    <xf numFmtId="0" fontId="19" fillId="0" borderId="0" xfId="16" applyAlignment="1" applyProtection="1">
      <alignment horizontal="center" vertical="center" wrapText="1"/>
      <protection hidden="1"/>
    </xf>
    <xf numFmtId="0" fontId="19" fillId="0" borderId="2" xfId="16" applyBorder="1" applyAlignment="1" applyProtection="1">
      <alignment horizontal="center" vertical="center"/>
      <protection hidden="1"/>
    </xf>
    <xf numFmtId="0" fontId="19" fillId="0" borderId="2" xfId="16" applyBorder="1" applyAlignment="1" applyProtection="1">
      <alignment horizontal="center" vertical="center" wrapText="1"/>
      <protection hidden="1"/>
    </xf>
    <xf numFmtId="0" fontId="19" fillId="0" borderId="0" xfId="16" applyAlignment="1" applyProtection="1">
      <alignment horizontal="center" vertical="center"/>
      <protection hidden="1"/>
    </xf>
    <xf numFmtId="0" fontId="19" fillId="0" borderId="2" xfId="16" applyBorder="1" applyAlignment="1" applyProtection="1">
      <alignment horizontal="center" vertical="center"/>
      <protection locked="0" hidden="1"/>
    </xf>
    <xf numFmtId="0" fontId="28" fillId="0" borderId="1" xfId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7" fillId="0" borderId="1" xfId="1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 wrapText="1"/>
      <protection hidden="1"/>
    </xf>
    <xf numFmtId="0" fontId="28" fillId="0" borderId="0" xfId="1" applyFont="1" applyBorder="1" applyAlignment="1" applyProtection="1">
      <alignment vertical="center"/>
      <protection hidden="1"/>
    </xf>
    <xf numFmtId="0" fontId="2" fillId="0" borderId="1" xfId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49" fontId="0" fillId="0" borderId="0" xfId="0" applyNumberFormat="1" applyAlignment="1" applyProtection="1">
      <alignment horizontal="center" vertical="center" wrapText="1"/>
      <protection hidden="1"/>
    </xf>
    <xf numFmtId="0" fontId="32" fillId="0" borderId="2" xfId="0" applyFont="1" applyBorder="1" applyAlignment="1" applyProtection="1">
      <alignment vertical="center" wrapText="1"/>
      <protection locked="0" hidden="1"/>
    </xf>
    <xf numFmtId="0" fontId="27" fillId="0" borderId="1" xfId="1" applyFont="1" applyAlignment="1" applyProtection="1">
      <alignment horizontal="left" vertical="center"/>
      <protection hidden="1"/>
    </xf>
    <xf numFmtId="49" fontId="0" fillId="0" borderId="2" xfId="0" applyNumberFormat="1" applyBorder="1" applyAlignment="1" applyProtection="1">
      <alignment vertical="center"/>
      <protection locked="0"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0" fillId="6" borderId="6" xfId="6" applyFont="1" applyFill="1" applyBorder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vertical="center"/>
      <protection hidden="1"/>
    </xf>
  </cellXfs>
  <cellStyles count="20">
    <cellStyle name="Calculation" xfId="4" builtinId="22"/>
    <cellStyle name="Explanatory Text" xfId="12" builtinId="53"/>
    <cellStyle name="Heading 1" xfId="1" builtinId="16"/>
    <cellStyle name="Hyperlink" xfId="2" builtinId="8"/>
    <cellStyle name="ICRHB Normal" xfId="9" xr:uid="{7AE0CAD7-29F1-4071-8D15-18FD74D798DD}"/>
    <cellStyle name="ICRHB Normal 2" xfId="15" xr:uid="{B324B032-27C8-49B5-B0C3-BFC093834636}"/>
    <cellStyle name="ICRHB Section Header" xfId="8" xr:uid="{B67BE72F-4F03-43CC-BE6B-9D767CB239FF}"/>
    <cellStyle name="ICRHB Section Header 2" xfId="13" xr:uid="{F10F2FF1-C893-46F9-8155-4645F8187C66}"/>
    <cellStyle name="ICRHB Section Subheader" xfId="10" xr:uid="{ACB616B0-EF5F-4AFC-A450-ACE20BB7C8A6}"/>
    <cellStyle name="ICRHB Section Subheader 2" xfId="17" xr:uid="{FFFE08C6-0B04-4F1E-86EC-2A11E8F36588}"/>
    <cellStyle name="ICRHB Table Header" xfId="7" xr:uid="{76F9E60A-8647-4068-83F6-34EA25E5D95B}"/>
    <cellStyle name="ICRHB Table Header 2" xfId="14" xr:uid="{A29FECB2-CCCE-4842-A285-A6FC50F2D8D8}"/>
    <cellStyle name="ICRHB Table Text" xfId="16" xr:uid="{8D373B51-35EA-4DED-88A4-8D78355F3CF1}"/>
    <cellStyle name="Input" xfId="19" builtinId="20"/>
    <cellStyle name="Normal" xfId="0" builtinId="0"/>
    <cellStyle name="Normal 2" xfId="5" xr:uid="{1CD9AFB6-AA45-4F63-8150-503BC03E9883}"/>
    <cellStyle name="Normal 2 2" xfId="6" xr:uid="{E69BAA8F-C56C-41FA-8E87-72BD8BB894BA}"/>
    <cellStyle name="Normal 3" xfId="11" xr:uid="{BBA80E7A-0B28-473D-B2D0-9A917721DFBF}"/>
    <cellStyle name="Normal 4" xfId="18" xr:uid="{B4F05C78-766F-47C7-8A7F-B6821A1767B3}"/>
    <cellStyle name="Note" xfId="3" builtinId="10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general" vertical="center" textRotation="0" indent="0" justifyLastLine="0" shrinkToFit="0" readingOrder="0"/>
      <protection locked="1" hidden="1"/>
    </dxf>
    <dxf>
      <alignment horizontal="general" vertical="center" textRotation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alignment horizontal="general" vertical="center" textRotation="0" indent="0" justifyLastLine="0" shrinkToFit="0" readingOrder="0"/>
      <protection locked="1" hidden="1"/>
    </dxf>
    <dxf>
      <alignment horizontal="general" vertical="center" textRotation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841078-57BD-46F8-8E30-C65F244CDEB7}" name="Nivoi" displayName="Nivoi" ref="A2:D14" totalsRowShown="0" headerRowDxfId="36" dataDxfId="35">
  <autoFilter ref="A2:D14" xr:uid="{8E841078-57BD-46F8-8E30-C65F244CDEB7}"/>
  <tableColumns count="4">
    <tableColumn id="1" xr3:uid="{0D821254-C1C2-4A93-BECD-1A84DCB143AD}" name="Nivo" dataDxfId="34">
      <calculatedColumnFormula>IF(General!$B$1="1 - Srpski",Nivoi[[#This Row],[Srpski]],Nivoi[[#This Row],[Engleski]])</calculatedColumnFormula>
    </tableColumn>
    <tableColumn id="2" xr3:uid="{52AA72B5-5C95-4ECF-8939-313A5C2D5F0E}" name="Složenost" dataDxfId="33"/>
    <tableColumn id="3" xr3:uid="{C27F32A0-40BE-49F7-AF82-5DA2E8342F70}" name="Srpski" dataDxfId="32"/>
    <tableColumn id="4" xr3:uid="{F5695F01-922A-44E7-9E32-A5363EA54AF8}" name="Engleski" dataDxfId="3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F1F1E44-CFE2-45D5-B320-19D3049F911F}" name="TipoviPrijave" displayName="TipoviPrijave" ref="A17:C19" totalsRowShown="0" headerRowDxfId="30" dataDxfId="29">
  <autoFilter ref="A17:C19" xr:uid="{1F1F1E44-CFE2-45D5-B320-19D3049F911F}"/>
  <tableColumns count="3">
    <tableColumn id="1" xr3:uid="{752E191E-156A-4B19-8E92-1B6ABC472CDD}" name="Tip prijave" dataDxfId="28">
      <calculatedColumnFormula>IF(General!$B$1="1 - Srpski",TipoviPrijave[[#This Row],[Srpski]],TipoviPrijave[[#This Row],[Engleski]])</calculatedColumnFormula>
    </tableColumn>
    <tableColumn id="2" xr3:uid="{1736FB4E-EB7B-4DB2-B2E8-50B5365EC39D}" name="Srpski" dataDxfId="27"/>
    <tableColumn id="3" xr3:uid="{4198BF7C-7317-4BA2-BDB4-199F44546A54}" name="Engleski" dataDxfId="2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C8153AA-4130-4909-A727-9408EF8516D6}" name="TipoviProjekata" displayName="TipoviProjekata" ref="A22:C25" totalsRowShown="0" headerRowDxfId="25" dataDxfId="24">
  <autoFilter ref="A22:C25" xr:uid="{2C8153AA-4130-4909-A727-9408EF8516D6}"/>
  <tableColumns count="3">
    <tableColumn id="1" xr3:uid="{DBF2F53A-C168-43D8-B81C-562D3E32FC26}" name="Tip projekta" dataDxfId="23">
      <calculatedColumnFormula>IF(General!$B$1="1 - Srpski",TipoviProjekata[[#This Row],[Srpski]],TipoviProjekata[[#This Row],[Engleski]])</calculatedColumnFormula>
    </tableColumn>
    <tableColumn id="2" xr3:uid="{F313283B-2766-4154-8A49-62F8988FA9F5}" name="Srpski" dataDxfId="22"/>
    <tableColumn id="3" xr3:uid="{2368FC83-25C8-4FA9-9037-5B17FBD08F9F}" name="Engleski" dataDxfId="2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5152D28-F0E5-44F2-9ACB-E991AF44AF82}" name="DaNe" displayName="DaNe" ref="A28:C30" totalsRowShown="0" headerRowDxfId="20" dataDxfId="19">
  <autoFilter ref="A28:C30" xr:uid="{D5152D28-F0E5-44F2-9ACB-E991AF44AF82}"/>
  <tableColumns count="3">
    <tableColumn id="1" xr3:uid="{39132656-4CED-4A34-9F92-288BA24E2F94}" name="Naziv" dataDxfId="18">
      <calculatedColumnFormula>IF(General!$B$1="1 - Srpski",DaNe[[#This Row],[Srpski]],DaNe[[#This Row],[Engleski]])</calculatedColumnFormula>
    </tableColumn>
    <tableColumn id="2" xr3:uid="{B337D00A-9289-4DAA-8FD1-2EA8A7D246E2}" name="Srpski" dataDxfId="17"/>
    <tableColumn id="3" xr3:uid="{8BDB1B05-310C-46F0-B4E4-072B8B5DC601}" name="Engleski" dataDxfId="1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E7AE1B-0A1D-4AB0-BFFD-2C44A3562520}" name="Prevodi" displayName="Prevodi" ref="F2:H6" totalsRowShown="0" headerRowDxfId="15" dataDxfId="14">
  <autoFilter ref="F2:H6" xr:uid="{5FE7AE1B-0A1D-4AB0-BFFD-2C44A3562520}"/>
  <tableColumns count="3">
    <tableColumn id="1" xr3:uid="{4F62C9DF-826D-4D99-B3D2-126F2A6C56F4}" name="Nivo" dataDxfId="13"/>
    <tableColumn id="2" xr3:uid="{C7E25585-864F-4F2E-B145-B56BC3EC166C}" name="Samoocena" dataDxfId="12"/>
    <tableColumn id="3" xr3:uid="{525E41DD-F33D-474F-B77C-7721E2982108}" name="Ostalo" dataDxfId="1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B54BEC7-6D1F-4E3D-9E5F-4F5BF3892AC4}" name="Rečnik" displayName="Rečnik" ref="A1:C140" totalsRowShown="0" headerRowDxfId="10" dataDxfId="9">
  <autoFilter ref="A1:C140" xr:uid="{1B54BEC7-6D1F-4E3D-9E5F-4F5BF3892AC4}"/>
  <tableColumns count="3">
    <tableColumn id="1" xr3:uid="{8CEA56E7-13CD-41B2-89D3-324B29366C72}" name="Key" dataDxfId="8"/>
    <tableColumn id="2" xr3:uid="{4DF08999-73D5-40D1-8B6A-2E6D3B8848BA}" name="Srpski" dataDxfId="7"/>
    <tableColumn id="3" xr3:uid="{ED86C491-3EF5-4EFC-9E44-F02680E7CA84}" name="English" dataDxfId="6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9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6075191-00F5-48FC-AB1A-42FA0DEC89AD}">
  <we:reference id="wa104381504" version="1.0.0.0" store="en-US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F84BD-3295-4F40-851E-C5EEE86A3600}">
  <dimension ref="A1:H30"/>
  <sheetViews>
    <sheetView zoomScaleNormal="100" workbookViewId="0"/>
  </sheetViews>
  <sheetFormatPr defaultRowHeight="14.5" x14ac:dyDescent="0.35"/>
  <cols>
    <col min="1" max="1" width="21.90625" style="54" bestFit="1" customWidth="1"/>
    <col min="2" max="2" width="12.36328125" style="54" bestFit="1" customWidth="1"/>
    <col min="3" max="3" width="18.6328125" style="54" bestFit="1" customWidth="1"/>
    <col min="4" max="4" width="21.90625" style="54" bestFit="1" customWidth="1"/>
    <col min="5" max="5" width="8.7265625" style="54"/>
    <col min="6" max="6" width="25.26953125" style="54" bestFit="1" customWidth="1"/>
    <col min="7" max="7" width="73.08984375" style="54" bestFit="1" customWidth="1"/>
    <col min="8" max="8" width="48.6328125" style="54" bestFit="1" customWidth="1"/>
    <col min="9" max="10" width="8.7265625" style="54"/>
    <col min="11" max="11" width="12.36328125" style="54" bestFit="1" customWidth="1"/>
    <col min="12" max="16384" width="8.7265625" style="54"/>
  </cols>
  <sheetData>
    <row r="1" spans="1:8" ht="20" thickBot="1" x14ac:dyDescent="0.4">
      <c r="A1" s="4" t="s">
        <v>67</v>
      </c>
      <c r="B1" s="4"/>
      <c r="C1" s="4"/>
      <c r="D1" s="4"/>
      <c r="F1" s="4" t="s">
        <v>372</v>
      </c>
      <c r="G1" s="4"/>
      <c r="H1" s="4"/>
    </row>
    <row r="2" spans="1:8" ht="15" thickTop="1" x14ac:dyDescent="0.35">
      <c r="A2" s="54" t="s">
        <v>16</v>
      </c>
      <c r="B2" s="54" t="s">
        <v>157</v>
      </c>
      <c r="C2" s="54" t="s">
        <v>175</v>
      </c>
      <c r="D2" s="54" t="s">
        <v>183</v>
      </c>
      <c r="F2" s="54" t="s">
        <v>16</v>
      </c>
      <c r="G2" s="54" t="s">
        <v>369</v>
      </c>
      <c r="H2" s="54" t="s">
        <v>370</v>
      </c>
    </row>
    <row r="3" spans="1:8" x14ac:dyDescent="0.35">
      <c r="A3" s="54" t="str">
        <f>IF(General!$B$1="1 - Srpski",Nivoi[[#This Row],[Srpski]],Nivoi[[#This Row],[Engleski]])</f>
        <v>IPMA Nivo A - Agilno okruženje</v>
      </c>
      <c r="B3" s="54">
        <v>32</v>
      </c>
      <c r="C3" s="54" t="s">
        <v>347</v>
      </c>
      <c r="D3" s="54" t="s">
        <v>201</v>
      </c>
      <c r="F3" s="54" t="s">
        <v>75</v>
      </c>
      <c r="G3" s="54" t="s">
        <v>361</v>
      </c>
      <c r="H3" s="54" t="s">
        <v>365</v>
      </c>
    </row>
    <row r="4" spans="1:8" x14ac:dyDescent="0.35">
      <c r="A4" s="54" t="str">
        <f>IF(General!$B$1="1 - Srpski",Nivoi[[#This Row],[Srpski]],Nivoi[[#This Row],[Engleski]])</f>
        <v>IPMA Nivo A - Portfolio</v>
      </c>
      <c r="B4" s="54">
        <v>32</v>
      </c>
      <c r="C4" s="54" t="s">
        <v>68</v>
      </c>
      <c r="D4" s="54" t="s">
        <v>202</v>
      </c>
      <c r="F4" s="54" t="s">
        <v>208</v>
      </c>
      <c r="G4" s="54" t="s">
        <v>362</v>
      </c>
      <c r="H4" s="54" t="s">
        <v>366</v>
      </c>
    </row>
    <row r="5" spans="1:8" x14ac:dyDescent="0.35">
      <c r="A5" s="54" t="str">
        <f>IF(General!$B$1="1 - Srpski",Nivoi[[#This Row],[Srpski]],Nivoi[[#This Row],[Engleski]])</f>
        <v>IPMA Nivo A - Program</v>
      </c>
      <c r="B5" s="54">
        <v>32</v>
      </c>
      <c r="C5" s="54" t="s">
        <v>69</v>
      </c>
      <c r="D5" s="54" t="s">
        <v>210</v>
      </c>
      <c r="F5" s="54" t="s">
        <v>350</v>
      </c>
      <c r="G5" s="54" t="s">
        <v>363</v>
      </c>
      <c r="H5" s="54" t="s">
        <v>367</v>
      </c>
    </row>
    <row r="6" spans="1:8" x14ac:dyDescent="0.35">
      <c r="A6" s="54" t="str">
        <f>IF(General!$B$1="1 - Srpski",Nivoi[[#This Row],[Srpski]],Nivoi[[#This Row],[Engleski]])</f>
        <v>IPMA Nivo A - Projekat</v>
      </c>
      <c r="B6" s="54">
        <v>32</v>
      </c>
      <c r="C6" s="54" t="s">
        <v>70</v>
      </c>
      <c r="D6" s="54" t="s">
        <v>209</v>
      </c>
      <c r="F6" s="54" t="s">
        <v>207</v>
      </c>
      <c r="G6" s="54" t="s">
        <v>364</v>
      </c>
      <c r="H6" s="54" t="s">
        <v>368</v>
      </c>
    </row>
    <row r="7" spans="1:8" x14ac:dyDescent="0.35">
      <c r="A7" s="54" t="str">
        <f>IF(General!$B$1="1 - Srpski",Nivoi[[#This Row],[Srpski]],Nivoi[[#This Row],[Engleski]])</f>
        <v>IPMA Nivo B - Agilno okruženje</v>
      </c>
      <c r="B7" s="54">
        <v>25</v>
      </c>
      <c r="C7" s="54" t="s">
        <v>348</v>
      </c>
      <c r="D7" s="54" t="s">
        <v>203</v>
      </c>
    </row>
    <row r="8" spans="1:8" x14ac:dyDescent="0.35">
      <c r="A8" s="54" t="str">
        <f>IF(General!$B$1="1 - Srpski",Nivoi[[#This Row],[Srpski]],Nivoi[[#This Row],[Engleski]])</f>
        <v>IPMA Nivo B - Portfolio</v>
      </c>
      <c r="B8" s="54">
        <v>25</v>
      </c>
      <c r="C8" s="54" t="s">
        <v>71</v>
      </c>
      <c r="D8" s="54" t="s">
        <v>204</v>
      </c>
    </row>
    <row r="9" spans="1:8" x14ac:dyDescent="0.35">
      <c r="A9" s="54" t="str">
        <f>IF(General!$B$1="1 - Srpski",Nivoi[[#This Row],[Srpski]],Nivoi[[#This Row],[Engleski]])</f>
        <v>IPMA Nivo B - Program</v>
      </c>
      <c r="B9" s="54">
        <v>25</v>
      </c>
      <c r="C9" s="54" t="s">
        <v>72</v>
      </c>
      <c r="D9" s="54" t="s">
        <v>211</v>
      </c>
    </row>
    <row r="10" spans="1:8" x14ac:dyDescent="0.35">
      <c r="A10" s="54" t="str">
        <f>IF(General!$B$1="1 - Srpski",Nivoi[[#This Row],[Srpski]],Nivoi[[#This Row],[Engleski]])</f>
        <v>IPMA Nivo B - Projekat</v>
      </c>
      <c r="B10" s="54">
        <v>25</v>
      </c>
      <c r="C10" s="54" t="s">
        <v>73</v>
      </c>
      <c r="D10" s="54" t="s">
        <v>212</v>
      </c>
    </row>
    <row r="11" spans="1:8" x14ac:dyDescent="0.35">
      <c r="A11" s="54" t="str">
        <f>IF(General!$B$1="1 - Srpski",Nivoi[[#This Row],[Srpski]],Nivoi[[#This Row],[Engleski]])</f>
        <v>IPMA Nivo C - Agilno okruženje</v>
      </c>
      <c r="B11" s="54">
        <v>16</v>
      </c>
      <c r="C11" s="54" t="s">
        <v>349</v>
      </c>
      <c r="D11" s="54" t="s">
        <v>205</v>
      </c>
    </row>
    <row r="12" spans="1:8" x14ac:dyDescent="0.35">
      <c r="A12" s="54" t="str">
        <f>IF(General!$B$1="1 - Srpski",Nivoi[[#This Row],[Srpski]],Nivoi[[#This Row],[Engleski]])</f>
        <v>IPMA Nivo C</v>
      </c>
      <c r="B12" s="54">
        <v>16</v>
      </c>
      <c r="C12" s="54" t="s">
        <v>74</v>
      </c>
      <c r="D12" s="54" t="s">
        <v>206</v>
      </c>
    </row>
    <row r="13" spans="1:8" x14ac:dyDescent="0.35">
      <c r="A13" s="54" t="str">
        <f>IF(General!$B$1="1 - Srpski",Nivoi[[#This Row],[Srpski]],Nivoi[[#This Row],[Engleski]])</f>
        <v>IPMA Nivo D - Agilno okruženje</v>
      </c>
      <c r="B13" s="54">
        <v>0</v>
      </c>
      <c r="C13" s="54" t="s">
        <v>350</v>
      </c>
      <c r="D13" s="54" t="s">
        <v>207</v>
      </c>
    </row>
    <row r="14" spans="1:8" x14ac:dyDescent="0.35">
      <c r="A14" s="54" t="str">
        <f>IF(General!$B$1="1 - Srpski",Nivoi[[#This Row],[Srpski]],Nivoi[[#This Row],[Engleski]])</f>
        <v>IPMA Nivo D</v>
      </c>
      <c r="B14" s="54">
        <v>0</v>
      </c>
      <c r="C14" s="54" t="s">
        <v>75</v>
      </c>
      <c r="D14" s="54" t="s">
        <v>208</v>
      </c>
    </row>
    <row r="16" spans="1:8" ht="20" thickBot="1" x14ac:dyDescent="0.4">
      <c r="A16" s="4" t="s">
        <v>215</v>
      </c>
      <c r="B16" s="4"/>
      <c r="C16" s="4"/>
    </row>
    <row r="17" spans="1:3" ht="15" thickTop="1" x14ac:dyDescent="0.35">
      <c r="A17" s="54" t="s">
        <v>17</v>
      </c>
      <c r="B17" s="54" t="s">
        <v>175</v>
      </c>
      <c r="C17" s="54" t="s">
        <v>183</v>
      </c>
    </row>
    <row r="18" spans="1:3" x14ac:dyDescent="0.35">
      <c r="A18" s="54" t="str">
        <f>IF(General!$B$1="1 - Srpski",TipoviPrijave[[#This Row],[Srpski]],TipoviPrijave[[#This Row],[Engleski]])</f>
        <v>Sertifikacija</v>
      </c>
      <c r="B18" s="54" t="s">
        <v>164</v>
      </c>
      <c r="C18" s="54" t="s">
        <v>213</v>
      </c>
    </row>
    <row r="19" spans="1:3" x14ac:dyDescent="0.35">
      <c r="A19" s="54" t="str">
        <f>IF(General!$B$1="1 - Srpski",TipoviPrijave[[#This Row],[Srpski]],TipoviPrijave[[#This Row],[Engleski]])</f>
        <v>Resertifikacija</v>
      </c>
      <c r="B19" s="54" t="s">
        <v>165</v>
      </c>
      <c r="C19" s="54" t="s">
        <v>214</v>
      </c>
    </row>
    <row r="21" spans="1:3" ht="20" thickBot="1" x14ac:dyDescent="0.4">
      <c r="A21" s="4" t="s">
        <v>216</v>
      </c>
      <c r="B21" s="4"/>
      <c r="C21" s="4"/>
    </row>
    <row r="22" spans="1:3" ht="15" thickTop="1" x14ac:dyDescent="0.35">
      <c r="A22" s="54" t="s">
        <v>217</v>
      </c>
      <c r="B22" s="54" t="s">
        <v>175</v>
      </c>
      <c r="C22" s="54" t="s">
        <v>183</v>
      </c>
    </row>
    <row r="23" spans="1:3" x14ac:dyDescent="0.35">
      <c r="A23" s="54" t="str">
        <f>IF(General!$B$1="1 - Srpski",TipoviProjekata[[#This Row],[Srpski]],TipoviProjekata[[#This Row],[Engleski]])</f>
        <v>Projekat</v>
      </c>
      <c r="B23" s="54" t="s">
        <v>180</v>
      </c>
      <c r="C23" s="54" t="s">
        <v>184</v>
      </c>
    </row>
    <row r="24" spans="1:3" x14ac:dyDescent="0.35">
      <c r="A24" s="54" t="str">
        <f>IF(General!$B$1="1 - Srpski",TipoviProjekata[[#This Row],[Srpski]],TipoviProjekata[[#This Row],[Engleski]])</f>
        <v>Program</v>
      </c>
      <c r="B24" s="54" t="s">
        <v>181</v>
      </c>
      <c r="C24" s="54" t="s">
        <v>185</v>
      </c>
    </row>
    <row r="25" spans="1:3" x14ac:dyDescent="0.35">
      <c r="A25" s="54" t="str">
        <f>IF(General!$B$1="1 - Srpski",TipoviProjekata[[#This Row],[Srpski]],TipoviProjekata[[#This Row],[Engleski]])</f>
        <v>Portfolio</v>
      </c>
      <c r="B25" s="54" t="s">
        <v>182</v>
      </c>
      <c r="C25" s="54" t="s">
        <v>182</v>
      </c>
    </row>
    <row r="27" spans="1:3" ht="20" thickBot="1" x14ac:dyDescent="0.4">
      <c r="A27" s="4" t="s">
        <v>218</v>
      </c>
      <c r="B27" s="4"/>
      <c r="C27" s="4"/>
    </row>
    <row r="28" spans="1:3" ht="15" thickTop="1" x14ac:dyDescent="0.35">
      <c r="A28" s="54" t="s">
        <v>22</v>
      </c>
      <c r="B28" s="54" t="s">
        <v>175</v>
      </c>
      <c r="C28" s="54" t="s">
        <v>183</v>
      </c>
    </row>
    <row r="29" spans="1:3" x14ac:dyDescent="0.35">
      <c r="A29" s="54" t="str">
        <f>IF(General!$B$1="1 - Srpski",DaNe[[#This Row],[Srpski]],DaNe[[#This Row],[Engleski]])</f>
        <v>Da</v>
      </c>
      <c r="B29" s="54" t="s">
        <v>192</v>
      </c>
      <c r="C29" s="54" t="s">
        <v>196</v>
      </c>
    </row>
    <row r="30" spans="1:3" x14ac:dyDescent="0.35">
      <c r="A30" s="54" t="str">
        <f>IF(General!$B$1="1 - Srpski",DaNe[[#This Row],[Srpski]],DaNe[[#This Row],[Engleski]])</f>
        <v>Ne</v>
      </c>
      <c r="B30" s="54" t="s">
        <v>193</v>
      </c>
      <c r="C30" s="54" t="s">
        <v>197</v>
      </c>
    </row>
  </sheetData>
  <phoneticPr fontId="30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D95C-75BD-48CC-8415-D96B1E258547}">
  <dimension ref="A1:E22"/>
  <sheetViews>
    <sheetView showGridLines="0" workbookViewId="0"/>
  </sheetViews>
  <sheetFormatPr defaultRowHeight="14.5" x14ac:dyDescent="0.35"/>
  <cols>
    <col min="1" max="1" width="7.36328125" style="14" customWidth="1"/>
    <col min="2" max="2" width="31.6328125" style="14" customWidth="1"/>
    <col min="3" max="3" width="37.54296875" style="14" customWidth="1"/>
    <col min="4" max="4" width="35.6328125" style="14" customWidth="1"/>
    <col min="5" max="5" width="23.6328125" style="14" customWidth="1"/>
    <col min="6" max="16384" width="8.7265625" style="14"/>
  </cols>
  <sheetData>
    <row r="1" spans="1:5" ht="19.5" x14ac:dyDescent="0.35">
      <c r="A1" s="6" t="str">
        <f>VLOOKUP(87,Rečnik[],LEFT(General!$B$1,1)+1,FALSE)</f>
        <v>Referentne osobe</v>
      </c>
      <c r="B1" s="6"/>
      <c r="C1" s="58" t="str">
        <f>_xlfn.IFNA(_xlfn.XLOOKUP(General!B20,Prevodi[Nivo],Prevodi[Ostalo],,0),"")</f>
        <v/>
      </c>
      <c r="D1" s="6"/>
      <c r="E1" s="6"/>
    </row>
    <row r="2" spans="1:5" x14ac:dyDescent="0.35">
      <c r="A2" s="10" t="s">
        <v>76</v>
      </c>
      <c r="B2" s="10" t="str">
        <f>VLOOKUP(138,Rečnik[],LEFT(General!$B$1,1)+1,FALSE)</f>
        <v>Ime i prezime</v>
      </c>
      <c r="C2" s="10" t="str">
        <f>VLOOKUP(124,Rečnik[],LEFT(General!$B$1,1)+1,FALSE)</f>
        <v>Pozicija</v>
      </c>
      <c r="D2" s="10" t="str">
        <f>VLOOKUP(6,Rečnik[],LEFT(General!$B$1,1)+1,FALSE)</f>
        <v>Email</v>
      </c>
      <c r="E2" s="10" t="str">
        <f>VLOOKUP(7,Rečnik[],LEFT(General!$B$1,1)+1,FALSE)</f>
        <v>Kontakt telefon</v>
      </c>
    </row>
    <row r="3" spans="1:5" x14ac:dyDescent="0.35">
      <c r="A3" s="10">
        <v>1</v>
      </c>
      <c r="B3" s="44"/>
      <c r="C3" s="44"/>
      <c r="D3" s="44"/>
      <c r="E3" s="66"/>
    </row>
    <row r="4" spans="1:5" x14ac:dyDescent="0.35">
      <c r="A4" s="10">
        <v>2</v>
      </c>
      <c r="B4" s="44"/>
      <c r="C4" s="44"/>
      <c r="D4" s="44"/>
      <c r="E4" s="66"/>
    </row>
    <row r="5" spans="1:5" x14ac:dyDescent="0.35">
      <c r="A5" s="10">
        <v>3</v>
      </c>
      <c r="B5" s="44"/>
      <c r="C5" s="44"/>
      <c r="D5" s="44"/>
      <c r="E5" s="66"/>
    </row>
    <row r="6" spans="1:5" x14ac:dyDescent="0.35">
      <c r="A6" s="10">
        <v>4</v>
      </c>
      <c r="B6" s="44"/>
      <c r="C6" s="44"/>
      <c r="D6" s="44"/>
      <c r="E6" s="66"/>
    </row>
    <row r="7" spans="1:5" x14ac:dyDescent="0.35">
      <c r="A7" s="10">
        <v>5</v>
      </c>
      <c r="B7" s="44"/>
      <c r="C7" s="44"/>
      <c r="D7" s="44"/>
      <c r="E7" s="66"/>
    </row>
    <row r="8" spans="1:5" x14ac:dyDescent="0.35">
      <c r="A8" s="10">
        <v>6</v>
      </c>
      <c r="B8" s="44"/>
      <c r="C8" s="44"/>
      <c r="D8" s="44"/>
      <c r="E8" s="66"/>
    </row>
    <row r="9" spans="1:5" x14ac:dyDescent="0.35">
      <c r="A9" s="10">
        <v>7</v>
      </c>
      <c r="B9" s="44"/>
      <c r="C9" s="44"/>
      <c r="D9" s="44"/>
      <c r="E9" s="66"/>
    </row>
    <row r="10" spans="1:5" x14ac:dyDescent="0.35">
      <c r="A10" s="10">
        <v>8</v>
      </c>
      <c r="B10" s="44"/>
      <c r="C10" s="44"/>
      <c r="D10" s="44"/>
      <c r="E10" s="66"/>
    </row>
    <row r="11" spans="1:5" x14ac:dyDescent="0.35">
      <c r="A11" s="10">
        <v>9</v>
      </c>
      <c r="B11" s="44"/>
      <c r="C11" s="44"/>
      <c r="D11" s="44"/>
      <c r="E11" s="66"/>
    </row>
    <row r="12" spans="1:5" x14ac:dyDescent="0.35">
      <c r="A12" s="10">
        <v>10</v>
      </c>
      <c r="B12" s="44"/>
      <c r="C12" s="44"/>
      <c r="D12" s="44"/>
      <c r="E12" s="66"/>
    </row>
    <row r="13" spans="1:5" x14ac:dyDescent="0.35">
      <c r="A13" s="10">
        <v>11</v>
      </c>
      <c r="B13" s="44"/>
      <c r="C13" s="44"/>
      <c r="D13" s="44"/>
      <c r="E13" s="66"/>
    </row>
    <row r="14" spans="1:5" x14ac:dyDescent="0.35">
      <c r="A14" s="10">
        <v>12</v>
      </c>
      <c r="B14" s="44"/>
      <c r="C14" s="44"/>
      <c r="D14" s="44"/>
      <c r="E14" s="66"/>
    </row>
    <row r="15" spans="1:5" x14ac:dyDescent="0.35">
      <c r="A15" s="10">
        <v>13</v>
      </c>
      <c r="B15" s="44"/>
      <c r="C15" s="44"/>
      <c r="D15" s="44"/>
      <c r="E15" s="66"/>
    </row>
    <row r="16" spans="1:5" x14ac:dyDescent="0.35">
      <c r="A16" s="10">
        <v>14</v>
      </c>
      <c r="B16" s="44"/>
      <c r="C16" s="44"/>
      <c r="D16" s="44"/>
      <c r="E16" s="66"/>
    </row>
    <row r="17" spans="1:5" x14ac:dyDescent="0.35">
      <c r="A17" s="10">
        <v>15</v>
      </c>
      <c r="B17" s="44"/>
      <c r="C17" s="44"/>
      <c r="D17" s="44"/>
      <c r="E17" s="66"/>
    </row>
    <row r="18" spans="1:5" x14ac:dyDescent="0.35">
      <c r="A18" s="10">
        <v>16</v>
      </c>
      <c r="B18" s="44"/>
      <c r="C18" s="44"/>
      <c r="D18" s="44"/>
      <c r="E18" s="66"/>
    </row>
    <row r="19" spans="1:5" x14ac:dyDescent="0.35">
      <c r="A19" s="10">
        <v>17</v>
      </c>
      <c r="B19" s="44"/>
      <c r="C19" s="44"/>
      <c r="D19" s="44"/>
      <c r="E19" s="66"/>
    </row>
    <row r="20" spans="1:5" x14ac:dyDescent="0.35">
      <c r="A20" s="10">
        <v>18</v>
      </c>
      <c r="B20" s="44"/>
      <c r="C20" s="44"/>
      <c r="D20" s="44"/>
      <c r="E20" s="66"/>
    </row>
    <row r="21" spans="1:5" x14ac:dyDescent="0.35">
      <c r="A21" s="10">
        <v>19</v>
      </c>
      <c r="B21" s="44"/>
      <c r="C21" s="44"/>
      <c r="D21" s="44"/>
      <c r="E21" s="66"/>
    </row>
    <row r="22" spans="1:5" x14ac:dyDescent="0.35">
      <c r="A22" s="10">
        <v>20</v>
      </c>
      <c r="B22" s="44"/>
      <c r="C22" s="44"/>
      <c r="D22" s="44"/>
      <c r="E22" s="66"/>
    </row>
  </sheetData>
  <sheetProtection algorithmName="SHA-512" hashValue="L9gkIbgpDOqVHFLYi9p1dh5BSZw1SY/5xHyumGs9SPG5j3MYjXi/7nkOG/Ic39aSv+YjoL7mf1qNNm3rv8Ezkw==" saltValue="ExcYM1rgIEGfEeuHXvX6w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253E-9E85-4DE5-90E6-26F5F8D85B35}">
  <dimension ref="A1:C140"/>
  <sheetViews>
    <sheetView topLeftCell="A95" workbookViewId="0">
      <selection activeCell="B143" sqref="B143"/>
    </sheetView>
  </sheetViews>
  <sheetFormatPr defaultRowHeight="14.5" x14ac:dyDescent="0.35"/>
  <cols>
    <col min="1" max="1" width="6.08984375" style="14" bestFit="1" customWidth="1"/>
    <col min="2" max="2" width="69.08984375" style="14" bestFit="1" customWidth="1"/>
    <col min="3" max="3" width="78.81640625" style="14" bestFit="1" customWidth="1"/>
    <col min="4" max="16384" width="8.7265625" style="14"/>
  </cols>
  <sheetData>
    <row r="1" spans="1:3" x14ac:dyDescent="0.35">
      <c r="A1" s="14" t="s">
        <v>177</v>
      </c>
      <c r="B1" s="14" t="s">
        <v>175</v>
      </c>
      <c r="C1" s="14" t="s">
        <v>176</v>
      </c>
    </row>
    <row r="2" spans="1:3" x14ac:dyDescent="0.35">
      <c r="A2" s="55">
        <v>1</v>
      </c>
      <c r="B2" s="14" t="s">
        <v>178</v>
      </c>
      <c r="C2" s="14" t="s">
        <v>221</v>
      </c>
    </row>
    <row r="3" spans="1:3" x14ac:dyDescent="0.35">
      <c r="A3" s="55">
        <v>2</v>
      </c>
      <c r="B3" s="14" t="s">
        <v>0</v>
      </c>
      <c r="C3" s="14" t="s">
        <v>187</v>
      </c>
    </row>
    <row r="4" spans="1:3" x14ac:dyDescent="0.35">
      <c r="A4" s="55">
        <v>3</v>
      </c>
      <c r="B4" s="14" t="s">
        <v>1</v>
      </c>
      <c r="C4" s="14" t="s">
        <v>188</v>
      </c>
    </row>
    <row r="5" spans="1:3" x14ac:dyDescent="0.35">
      <c r="A5" s="55">
        <v>4</v>
      </c>
      <c r="B5" s="14" t="s">
        <v>2</v>
      </c>
      <c r="C5" s="14" t="s">
        <v>190</v>
      </c>
    </row>
    <row r="6" spans="1:3" x14ac:dyDescent="0.35">
      <c r="A6" s="55">
        <v>5</v>
      </c>
      <c r="B6" s="14" t="s">
        <v>9</v>
      </c>
      <c r="C6" s="14" t="s">
        <v>191</v>
      </c>
    </row>
    <row r="7" spans="1:3" x14ac:dyDescent="0.35">
      <c r="A7" s="55">
        <v>6</v>
      </c>
      <c r="B7" s="14" t="s">
        <v>7</v>
      </c>
      <c r="C7" s="14" t="s">
        <v>7</v>
      </c>
    </row>
    <row r="8" spans="1:3" x14ac:dyDescent="0.35">
      <c r="A8" s="55">
        <v>7</v>
      </c>
      <c r="B8" s="14" t="s">
        <v>8</v>
      </c>
      <c r="C8" s="14" t="s">
        <v>222</v>
      </c>
    </row>
    <row r="9" spans="1:3" x14ac:dyDescent="0.35">
      <c r="A9" s="55">
        <v>8</v>
      </c>
      <c r="B9" s="14" t="s">
        <v>166</v>
      </c>
      <c r="C9" s="14" t="s">
        <v>223</v>
      </c>
    </row>
    <row r="10" spans="1:3" x14ac:dyDescent="0.35">
      <c r="A10" s="55">
        <v>9</v>
      </c>
      <c r="B10" s="14" t="s">
        <v>3</v>
      </c>
      <c r="C10" s="14" t="s">
        <v>224</v>
      </c>
    </row>
    <row r="11" spans="1:3" x14ac:dyDescent="0.35">
      <c r="A11" s="55">
        <v>10</v>
      </c>
      <c r="B11" s="14" t="s">
        <v>66</v>
      </c>
      <c r="C11" s="14" t="s">
        <v>225</v>
      </c>
    </row>
    <row r="12" spans="1:3" x14ac:dyDescent="0.35">
      <c r="A12" s="55">
        <v>11</v>
      </c>
      <c r="B12" s="14" t="s">
        <v>4</v>
      </c>
      <c r="C12" s="14" t="s">
        <v>226</v>
      </c>
    </row>
    <row r="13" spans="1:3" x14ac:dyDescent="0.35">
      <c r="A13" s="55">
        <v>12</v>
      </c>
      <c r="B13" s="14" t="s">
        <v>5</v>
      </c>
      <c r="C13" s="14" t="s">
        <v>227</v>
      </c>
    </row>
    <row r="14" spans="1:3" x14ac:dyDescent="0.35">
      <c r="A14" s="55">
        <v>13</v>
      </c>
      <c r="B14" s="14" t="s">
        <v>6</v>
      </c>
      <c r="C14" s="14" t="s">
        <v>228</v>
      </c>
    </row>
    <row r="15" spans="1:3" x14ac:dyDescent="0.35">
      <c r="A15" s="55">
        <v>14</v>
      </c>
      <c r="B15" s="14" t="s">
        <v>15</v>
      </c>
      <c r="C15" s="14" t="s">
        <v>229</v>
      </c>
    </row>
    <row r="16" spans="1:3" x14ac:dyDescent="0.35">
      <c r="A16" s="55">
        <v>15</v>
      </c>
      <c r="B16" s="14" t="s">
        <v>17</v>
      </c>
      <c r="C16" s="14" t="s">
        <v>230</v>
      </c>
    </row>
    <row r="17" spans="1:3" x14ac:dyDescent="0.35">
      <c r="A17" s="55">
        <v>16</v>
      </c>
      <c r="B17" s="14" t="s">
        <v>16</v>
      </c>
      <c r="C17" s="14" t="s">
        <v>231</v>
      </c>
    </row>
    <row r="18" spans="1:3" x14ac:dyDescent="0.35">
      <c r="A18" s="55">
        <v>17</v>
      </c>
      <c r="B18" s="14" t="s">
        <v>18</v>
      </c>
      <c r="C18" s="14" t="s">
        <v>232</v>
      </c>
    </row>
    <row r="19" spans="1:3" x14ac:dyDescent="0.35">
      <c r="A19" s="55">
        <v>18</v>
      </c>
      <c r="B19" s="14" t="s">
        <v>19</v>
      </c>
      <c r="C19" s="14" t="s">
        <v>225</v>
      </c>
    </row>
    <row r="20" spans="1:3" x14ac:dyDescent="0.35">
      <c r="A20" s="55">
        <v>19</v>
      </c>
      <c r="B20" s="14" t="s">
        <v>20</v>
      </c>
      <c r="C20" s="14" t="s">
        <v>233</v>
      </c>
    </row>
    <row r="21" spans="1:3" x14ac:dyDescent="0.35">
      <c r="A21" s="55">
        <v>20</v>
      </c>
      <c r="B21" s="14" t="s">
        <v>169</v>
      </c>
      <c r="C21" s="14" t="s">
        <v>234</v>
      </c>
    </row>
    <row r="22" spans="1:3" x14ac:dyDescent="0.35">
      <c r="A22" s="55">
        <v>21</v>
      </c>
      <c r="B22" s="14" t="s">
        <v>170</v>
      </c>
      <c r="C22" s="14" t="s">
        <v>235</v>
      </c>
    </row>
    <row r="23" spans="1:3" x14ac:dyDescent="0.35">
      <c r="A23" s="55">
        <v>22</v>
      </c>
      <c r="B23" s="14" t="s">
        <v>171</v>
      </c>
      <c r="C23" s="14" t="s">
        <v>236</v>
      </c>
    </row>
    <row r="24" spans="1:3" x14ac:dyDescent="0.35">
      <c r="A24" s="55">
        <v>23</v>
      </c>
      <c r="B24" s="14" t="s">
        <v>172</v>
      </c>
      <c r="C24" s="14" t="s">
        <v>237</v>
      </c>
    </row>
    <row r="25" spans="1:3" x14ac:dyDescent="0.35">
      <c r="A25" s="55">
        <v>24</v>
      </c>
      <c r="B25" s="14" t="s">
        <v>173</v>
      </c>
      <c r="C25" s="14" t="s">
        <v>189</v>
      </c>
    </row>
    <row r="26" spans="1:3" ht="174" x14ac:dyDescent="0.35">
      <c r="A26" s="55">
        <v>25</v>
      </c>
      <c r="B26" s="3" t="s">
        <v>351</v>
      </c>
      <c r="C26" s="3" t="s">
        <v>352</v>
      </c>
    </row>
    <row r="27" spans="1:3" x14ac:dyDescent="0.35">
      <c r="A27" s="55">
        <v>26</v>
      </c>
      <c r="B27" s="14" t="s">
        <v>10</v>
      </c>
      <c r="C27" s="14" t="s">
        <v>238</v>
      </c>
    </row>
    <row r="28" spans="1:3" x14ac:dyDescent="0.35">
      <c r="A28" s="55">
        <v>27</v>
      </c>
      <c r="B28" s="14" t="s">
        <v>11</v>
      </c>
      <c r="C28" s="14" t="s">
        <v>239</v>
      </c>
    </row>
    <row r="29" spans="1:3" x14ac:dyDescent="0.35">
      <c r="A29" s="55">
        <v>28</v>
      </c>
      <c r="B29" s="14" t="s">
        <v>12</v>
      </c>
      <c r="C29" s="14" t="s">
        <v>240</v>
      </c>
    </row>
    <row r="30" spans="1:3" x14ac:dyDescent="0.35">
      <c r="A30" s="55">
        <v>29</v>
      </c>
      <c r="B30" s="14" t="s">
        <v>13</v>
      </c>
      <c r="C30" s="14" t="s">
        <v>241</v>
      </c>
    </row>
    <row r="31" spans="1:3" x14ac:dyDescent="0.35">
      <c r="A31" s="55">
        <v>30</v>
      </c>
      <c r="B31" s="14" t="s">
        <v>14</v>
      </c>
      <c r="C31" s="14" t="s">
        <v>242</v>
      </c>
    </row>
    <row r="32" spans="1:3" x14ac:dyDescent="0.35">
      <c r="A32" s="55">
        <v>31</v>
      </c>
      <c r="B32" s="14" t="s">
        <v>77</v>
      </c>
      <c r="C32" s="14" t="s">
        <v>243</v>
      </c>
    </row>
    <row r="33" spans="1:3" x14ac:dyDescent="0.35">
      <c r="A33" s="55">
        <v>32</v>
      </c>
      <c r="B33" s="14" t="s">
        <v>141</v>
      </c>
      <c r="C33" s="14" t="s">
        <v>244</v>
      </c>
    </row>
    <row r="34" spans="1:3" x14ac:dyDescent="0.35">
      <c r="A34" s="55">
        <v>33</v>
      </c>
      <c r="B34" s="3" t="s">
        <v>179</v>
      </c>
      <c r="C34" s="3" t="s">
        <v>245</v>
      </c>
    </row>
    <row r="35" spans="1:3" x14ac:dyDescent="0.35">
      <c r="A35" s="55">
        <v>34</v>
      </c>
      <c r="B35" s="14" t="s">
        <v>219</v>
      </c>
      <c r="C35" s="14" t="s">
        <v>220</v>
      </c>
    </row>
    <row r="36" spans="1:3" x14ac:dyDescent="0.35">
      <c r="A36" s="55">
        <v>35</v>
      </c>
      <c r="B36" s="14" t="s">
        <v>142</v>
      </c>
      <c r="C36" s="14" t="s">
        <v>246</v>
      </c>
    </row>
    <row r="37" spans="1:3" x14ac:dyDescent="0.35">
      <c r="A37" s="55">
        <v>36</v>
      </c>
      <c r="B37" s="14" t="s">
        <v>78</v>
      </c>
      <c r="C37" s="14" t="s">
        <v>247</v>
      </c>
    </row>
    <row r="38" spans="1:3" x14ac:dyDescent="0.35">
      <c r="A38" s="55">
        <v>37</v>
      </c>
      <c r="B38" s="14" t="s">
        <v>79</v>
      </c>
      <c r="C38" s="14" t="s">
        <v>248</v>
      </c>
    </row>
    <row r="39" spans="1:3" x14ac:dyDescent="0.35">
      <c r="A39" s="55">
        <v>38</v>
      </c>
      <c r="B39" s="14" t="s">
        <v>106</v>
      </c>
      <c r="C39" s="14" t="s">
        <v>249</v>
      </c>
    </row>
    <row r="40" spans="1:3" x14ac:dyDescent="0.35">
      <c r="A40" s="55">
        <v>39</v>
      </c>
      <c r="B40" s="14" t="s">
        <v>107</v>
      </c>
      <c r="C40" s="14" t="s">
        <v>250</v>
      </c>
    </row>
    <row r="41" spans="1:3" x14ac:dyDescent="0.35">
      <c r="A41" s="55">
        <v>40</v>
      </c>
      <c r="B41" s="14" t="s">
        <v>80</v>
      </c>
      <c r="C41" s="14" t="s">
        <v>251</v>
      </c>
    </row>
    <row r="42" spans="1:3" x14ac:dyDescent="0.35">
      <c r="A42" s="55">
        <v>41</v>
      </c>
      <c r="B42" s="14" t="s">
        <v>81</v>
      </c>
      <c r="C42" s="14" t="s">
        <v>252</v>
      </c>
    </row>
    <row r="43" spans="1:3" x14ac:dyDescent="0.35">
      <c r="A43" s="55">
        <v>42</v>
      </c>
      <c r="B43" s="14" t="s">
        <v>82</v>
      </c>
      <c r="C43" s="14" t="s">
        <v>253</v>
      </c>
    </row>
    <row r="44" spans="1:3" x14ac:dyDescent="0.35">
      <c r="A44" s="55">
        <v>43</v>
      </c>
      <c r="B44" s="14" t="s">
        <v>83</v>
      </c>
      <c r="C44" s="14" t="s">
        <v>254</v>
      </c>
    </row>
    <row r="45" spans="1:3" x14ac:dyDescent="0.35">
      <c r="A45" s="55">
        <v>44</v>
      </c>
      <c r="B45" s="14" t="s">
        <v>84</v>
      </c>
      <c r="C45" s="14" t="s">
        <v>255</v>
      </c>
    </row>
    <row r="46" spans="1:3" x14ac:dyDescent="0.35">
      <c r="A46" s="55">
        <v>45</v>
      </c>
      <c r="B46" s="14" t="s">
        <v>85</v>
      </c>
      <c r="C46" s="14" t="s">
        <v>256</v>
      </c>
    </row>
    <row r="47" spans="1:3" x14ac:dyDescent="0.35">
      <c r="A47" s="55">
        <v>46</v>
      </c>
      <c r="B47" s="14" t="s">
        <v>86</v>
      </c>
      <c r="C47" s="14" t="s">
        <v>257</v>
      </c>
    </row>
    <row r="48" spans="1:3" x14ac:dyDescent="0.35">
      <c r="A48" s="55">
        <v>47</v>
      </c>
      <c r="B48" s="14" t="s">
        <v>87</v>
      </c>
      <c r="C48" s="14" t="s">
        <v>258</v>
      </c>
    </row>
    <row r="49" spans="1:3" x14ac:dyDescent="0.35">
      <c r="A49" s="55">
        <v>48</v>
      </c>
      <c r="B49" s="14" t="s">
        <v>88</v>
      </c>
      <c r="C49" s="14" t="s">
        <v>259</v>
      </c>
    </row>
    <row r="50" spans="1:3" x14ac:dyDescent="0.35">
      <c r="A50" s="55">
        <v>49</v>
      </c>
      <c r="B50" s="14" t="s">
        <v>89</v>
      </c>
      <c r="C50" s="14" t="s">
        <v>260</v>
      </c>
    </row>
    <row r="51" spans="1:3" x14ac:dyDescent="0.35">
      <c r="A51" s="55">
        <v>50</v>
      </c>
      <c r="B51" s="14" t="s">
        <v>90</v>
      </c>
      <c r="C51" s="14" t="s">
        <v>261</v>
      </c>
    </row>
    <row r="52" spans="1:3" x14ac:dyDescent="0.35">
      <c r="A52" s="55">
        <v>51</v>
      </c>
      <c r="B52" s="14" t="s">
        <v>91</v>
      </c>
      <c r="C52" s="14" t="s">
        <v>262</v>
      </c>
    </row>
    <row r="53" spans="1:3" x14ac:dyDescent="0.35">
      <c r="A53" s="55">
        <v>52</v>
      </c>
      <c r="B53" s="14" t="s">
        <v>92</v>
      </c>
      <c r="C53" s="14" t="s">
        <v>263</v>
      </c>
    </row>
    <row r="54" spans="1:3" x14ac:dyDescent="0.35">
      <c r="A54" s="55">
        <v>53</v>
      </c>
      <c r="B54" s="14" t="s">
        <v>50</v>
      </c>
      <c r="C54" s="14" t="s">
        <v>264</v>
      </c>
    </row>
    <row r="55" spans="1:3" x14ac:dyDescent="0.35">
      <c r="A55" s="55">
        <v>54</v>
      </c>
      <c r="B55" s="14" t="s">
        <v>93</v>
      </c>
      <c r="C55" s="14" t="s">
        <v>265</v>
      </c>
    </row>
    <row r="56" spans="1:3" x14ac:dyDescent="0.35">
      <c r="A56" s="55">
        <v>55</v>
      </c>
      <c r="B56" s="14" t="s">
        <v>94</v>
      </c>
      <c r="C56" s="14" t="s">
        <v>266</v>
      </c>
    </row>
    <row r="57" spans="1:3" x14ac:dyDescent="0.35">
      <c r="A57" s="55">
        <v>56</v>
      </c>
      <c r="B57" s="14" t="s">
        <v>95</v>
      </c>
      <c r="C57" s="14" t="s">
        <v>267</v>
      </c>
    </row>
    <row r="58" spans="1:3" x14ac:dyDescent="0.35">
      <c r="A58" s="55">
        <v>57</v>
      </c>
      <c r="B58" s="14" t="s">
        <v>96</v>
      </c>
      <c r="C58" s="14" t="s">
        <v>268</v>
      </c>
    </row>
    <row r="59" spans="1:3" x14ac:dyDescent="0.35">
      <c r="A59" s="55">
        <v>58</v>
      </c>
      <c r="B59" s="14" t="s">
        <v>97</v>
      </c>
      <c r="C59" s="14" t="s">
        <v>269</v>
      </c>
    </row>
    <row r="60" spans="1:3" x14ac:dyDescent="0.35">
      <c r="A60" s="55">
        <v>59</v>
      </c>
      <c r="B60" s="14" t="s">
        <v>98</v>
      </c>
      <c r="C60" s="14" t="s">
        <v>270</v>
      </c>
    </row>
    <row r="61" spans="1:3" x14ac:dyDescent="0.35">
      <c r="A61" s="55">
        <v>60</v>
      </c>
      <c r="B61" s="14" t="s">
        <v>99</v>
      </c>
      <c r="C61" s="14" t="s">
        <v>271</v>
      </c>
    </row>
    <row r="62" spans="1:3" x14ac:dyDescent="0.35">
      <c r="A62" s="55">
        <v>61</v>
      </c>
      <c r="B62" s="14" t="s">
        <v>100</v>
      </c>
      <c r="C62" s="14" t="s">
        <v>272</v>
      </c>
    </row>
    <row r="63" spans="1:3" x14ac:dyDescent="0.35">
      <c r="A63" s="55">
        <v>62</v>
      </c>
      <c r="B63" s="14" t="s">
        <v>101</v>
      </c>
      <c r="C63" s="14" t="s">
        <v>273</v>
      </c>
    </row>
    <row r="64" spans="1:3" x14ac:dyDescent="0.35">
      <c r="A64" s="55">
        <v>63</v>
      </c>
      <c r="B64" s="14" t="s">
        <v>102</v>
      </c>
      <c r="C64" s="14" t="s">
        <v>274</v>
      </c>
    </row>
    <row r="65" spans="1:3" x14ac:dyDescent="0.35">
      <c r="A65" s="55">
        <v>64</v>
      </c>
      <c r="B65" s="14" t="s">
        <v>103</v>
      </c>
      <c r="C65" s="14" t="s">
        <v>275</v>
      </c>
    </row>
    <row r="66" spans="1:3" x14ac:dyDescent="0.35">
      <c r="A66" s="55">
        <v>65</v>
      </c>
      <c r="B66" s="14" t="s">
        <v>108</v>
      </c>
      <c r="C66" s="14" t="s">
        <v>276</v>
      </c>
    </row>
    <row r="67" spans="1:3" x14ac:dyDescent="0.35">
      <c r="A67" s="55">
        <v>66</v>
      </c>
      <c r="B67" s="14" t="s">
        <v>104</v>
      </c>
      <c r="C67" s="14" t="s">
        <v>277</v>
      </c>
    </row>
    <row r="68" spans="1:3" x14ac:dyDescent="0.35">
      <c r="A68" s="55">
        <v>67</v>
      </c>
      <c r="B68" s="14" t="s">
        <v>109</v>
      </c>
      <c r="C68" s="14" t="s">
        <v>278</v>
      </c>
    </row>
    <row r="69" spans="1:3" x14ac:dyDescent="0.35">
      <c r="A69" s="55">
        <v>68</v>
      </c>
      <c r="B69" s="14" t="s">
        <v>143</v>
      </c>
      <c r="C69" s="14" t="s">
        <v>279</v>
      </c>
    </row>
    <row r="70" spans="1:3" x14ac:dyDescent="0.35">
      <c r="A70" s="55">
        <v>69</v>
      </c>
      <c r="B70" s="14" t="s">
        <v>140</v>
      </c>
      <c r="C70" s="14" t="s">
        <v>280</v>
      </c>
    </row>
    <row r="71" spans="1:3" x14ac:dyDescent="0.35">
      <c r="A71" s="55">
        <v>70</v>
      </c>
      <c r="B71" s="14" t="s">
        <v>105</v>
      </c>
      <c r="C71" s="14" t="s">
        <v>281</v>
      </c>
    </row>
    <row r="72" spans="1:3" x14ac:dyDescent="0.35">
      <c r="A72" s="55">
        <v>71</v>
      </c>
      <c r="B72" s="14" t="s">
        <v>139</v>
      </c>
      <c r="C72" s="14" t="s">
        <v>282</v>
      </c>
    </row>
    <row r="73" spans="1:3" x14ac:dyDescent="0.35">
      <c r="A73" s="55">
        <v>72</v>
      </c>
      <c r="B73" s="14" t="s">
        <v>61</v>
      </c>
      <c r="C73" s="14" t="s">
        <v>283</v>
      </c>
    </row>
    <row r="74" spans="1:3" x14ac:dyDescent="0.35">
      <c r="A74" s="55">
        <v>73</v>
      </c>
      <c r="B74" s="14" t="s">
        <v>21</v>
      </c>
      <c r="C74" s="14" t="s">
        <v>284</v>
      </c>
    </row>
    <row r="75" spans="1:3" x14ac:dyDescent="0.35">
      <c r="A75" s="55">
        <v>74</v>
      </c>
      <c r="B75" s="14" t="s">
        <v>22</v>
      </c>
      <c r="C75" s="14" t="s">
        <v>186</v>
      </c>
    </row>
    <row r="76" spans="1:3" x14ac:dyDescent="0.35">
      <c r="A76" s="55">
        <v>75</v>
      </c>
      <c r="B76" s="14" t="s">
        <v>354</v>
      </c>
      <c r="C76" s="14" t="s">
        <v>355</v>
      </c>
    </row>
    <row r="77" spans="1:3" x14ac:dyDescent="0.35">
      <c r="A77" s="55">
        <v>76</v>
      </c>
      <c r="B77" s="14" t="s">
        <v>23</v>
      </c>
      <c r="C77" s="14" t="s">
        <v>285</v>
      </c>
    </row>
    <row r="78" spans="1:3" x14ac:dyDescent="0.35">
      <c r="A78" s="55">
        <v>77</v>
      </c>
      <c r="B78" s="14" t="s">
        <v>60</v>
      </c>
      <c r="C78" s="14" t="s">
        <v>286</v>
      </c>
    </row>
    <row r="79" spans="1:3" x14ac:dyDescent="0.35">
      <c r="A79" s="55">
        <v>78</v>
      </c>
      <c r="B79" s="14" t="s">
        <v>62</v>
      </c>
      <c r="C79" s="14" t="s">
        <v>287</v>
      </c>
    </row>
    <row r="80" spans="1:3" x14ac:dyDescent="0.35">
      <c r="A80" s="55">
        <v>79</v>
      </c>
      <c r="B80" s="14" t="s">
        <v>63</v>
      </c>
      <c r="C80" s="14" t="s">
        <v>288</v>
      </c>
    </row>
    <row r="81" spans="1:3" x14ac:dyDescent="0.35">
      <c r="A81" s="55">
        <v>80</v>
      </c>
      <c r="B81" s="14" t="s">
        <v>64</v>
      </c>
      <c r="C81" s="14" t="s">
        <v>289</v>
      </c>
    </row>
    <row r="82" spans="1:3" x14ac:dyDescent="0.35">
      <c r="A82" s="55">
        <v>81</v>
      </c>
      <c r="B82" s="14" t="s">
        <v>65</v>
      </c>
      <c r="C82" s="14" t="s">
        <v>290</v>
      </c>
    </row>
    <row r="83" spans="1:3" x14ac:dyDescent="0.35">
      <c r="A83" s="55">
        <v>82</v>
      </c>
      <c r="B83" s="14" t="s">
        <v>159</v>
      </c>
      <c r="C83" s="14" t="s">
        <v>291</v>
      </c>
    </row>
    <row r="84" spans="1:3" x14ac:dyDescent="0.35">
      <c r="A84" s="55">
        <v>83</v>
      </c>
      <c r="B84" s="14" t="s">
        <v>200</v>
      </c>
      <c r="C84" s="14" t="s">
        <v>292</v>
      </c>
    </row>
    <row r="85" spans="1:3" x14ac:dyDescent="0.35">
      <c r="A85" s="55">
        <v>84</v>
      </c>
      <c r="B85" s="14" t="s">
        <v>24</v>
      </c>
      <c r="C85" s="14" t="s">
        <v>293</v>
      </c>
    </row>
    <row r="86" spans="1:3" x14ac:dyDescent="0.35">
      <c r="A86" s="55">
        <v>85</v>
      </c>
      <c r="B86" s="14" t="s">
        <v>25</v>
      </c>
      <c r="C86" s="14" t="s">
        <v>294</v>
      </c>
    </row>
    <row r="87" spans="1:3" x14ac:dyDescent="0.35">
      <c r="A87" s="55">
        <v>86</v>
      </c>
      <c r="B87" s="14" t="s">
        <v>28</v>
      </c>
      <c r="C87" s="14" t="s">
        <v>295</v>
      </c>
    </row>
    <row r="88" spans="1:3" x14ac:dyDescent="0.35">
      <c r="A88" s="55">
        <v>87</v>
      </c>
      <c r="B88" s="14" t="s">
        <v>26</v>
      </c>
      <c r="C88" s="14" t="s">
        <v>296</v>
      </c>
    </row>
    <row r="89" spans="1:3" x14ac:dyDescent="0.35">
      <c r="A89" s="55">
        <v>88</v>
      </c>
      <c r="B89" s="14" t="s">
        <v>358</v>
      </c>
      <c r="C89" s="14" t="s">
        <v>359</v>
      </c>
    </row>
    <row r="90" spans="1:3" x14ac:dyDescent="0.35">
      <c r="A90" s="55">
        <v>89</v>
      </c>
      <c r="B90" s="14" t="s">
        <v>59</v>
      </c>
      <c r="C90" s="14" t="s">
        <v>297</v>
      </c>
    </row>
    <row r="91" spans="1:3" x14ac:dyDescent="0.35">
      <c r="A91" s="55">
        <v>90</v>
      </c>
      <c r="B91" s="14" t="s">
        <v>145</v>
      </c>
      <c r="C91" s="14" t="s">
        <v>298</v>
      </c>
    </row>
    <row r="92" spans="1:3" x14ac:dyDescent="0.35">
      <c r="A92" s="55">
        <v>91</v>
      </c>
      <c r="B92" s="14" t="s">
        <v>146</v>
      </c>
      <c r="C92" s="14" t="s">
        <v>299</v>
      </c>
    </row>
    <row r="93" spans="1:3" x14ac:dyDescent="0.35">
      <c r="A93" s="55">
        <v>92</v>
      </c>
      <c r="B93" s="14" t="s">
        <v>147</v>
      </c>
      <c r="C93" s="14" t="s">
        <v>300</v>
      </c>
    </row>
    <row r="94" spans="1:3" x14ac:dyDescent="0.35">
      <c r="A94" s="55">
        <v>93</v>
      </c>
      <c r="B94" s="14" t="s">
        <v>148</v>
      </c>
      <c r="C94" s="14" t="s">
        <v>301</v>
      </c>
    </row>
    <row r="95" spans="1:3" x14ac:dyDescent="0.35">
      <c r="A95" s="55">
        <v>94</v>
      </c>
      <c r="B95" s="14" t="s">
        <v>149</v>
      </c>
      <c r="C95" s="14" t="s">
        <v>302</v>
      </c>
    </row>
    <row r="96" spans="1:3" x14ac:dyDescent="0.35">
      <c r="A96" s="55">
        <v>95</v>
      </c>
      <c r="B96" s="14" t="s">
        <v>150</v>
      </c>
      <c r="C96" s="14" t="s">
        <v>303</v>
      </c>
    </row>
    <row r="97" spans="1:3" x14ac:dyDescent="0.35">
      <c r="A97" s="55">
        <v>96</v>
      </c>
      <c r="B97" s="14" t="s">
        <v>151</v>
      </c>
      <c r="C97" s="14" t="s">
        <v>304</v>
      </c>
    </row>
    <row r="98" spans="1:3" x14ac:dyDescent="0.35">
      <c r="A98" s="55">
        <v>97</v>
      </c>
      <c r="B98" s="14" t="s">
        <v>152</v>
      </c>
      <c r="C98" s="14" t="s">
        <v>305</v>
      </c>
    </row>
    <row r="99" spans="1:3" x14ac:dyDescent="0.35">
      <c r="A99" s="55">
        <v>98</v>
      </c>
      <c r="B99" s="14" t="s">
        <v>153</v>
      </c>
      <c r="C99" s="14" t="s">
        <v>306</v>
      </c>
    </row>
    <row r="100" spans="1:3" x14ac:dyDescent="0.35">
      <c r="A100" s="55">
        <v>99</v>
      </c>
      <c r="B100" s="14" t="s">
        <v>154</v>
      </c>
      <c r="C100" s="14" t="s">
        <v>307</v>
      </c>
    </row>
    <row r="101" spans="1:3" x14ac:dyDescent="0.35">
      <c r="A101" s="55">
        <v>100</v>
      </c>
      <c r="B101" s="14" t="s">
        <v>144</v>
      </c>
      <c r="C101" s="14" t="s">
        <v>308</v>
      </c>
    </row>
    <row r="102" spans="1:3" x14ac:dyDescent="0.35">
      <c r="A102" s="55">
        <v>101</v>
      </c>
      <c r="B102" s="14" t="s">
        <v>155</v>
      </c>
      <c r="C102" s="14" t="s">
        <v>309</v>
      </c>
    </row>
    <row r="103" spans="1:3" x14ac:dyDescent="0.35">
      <c r="A103" s="55">
        <v>102</v>
      </c>
      <c r="B103" s="14" t="s">
        <v>156</v>
      </c>
      <c r="C103" s="14" t="s">
        <v>310</v>
      </c>
    </row>
    <row r="104" spans="1:3" x14ac:dyDescent="0.35">
      <c r="A104" s="55">
        <v>103</v>
      </c>
      <c r="B104" s="14" t="s">
        <v>158</v>
      </c>
      <c r="C104" s="14" t="s">
        <v>311</v>
      </c>
    </row>
    <row r="105" spans="1:3" x14ac:dyDescent="0.35">
      <c r="A105" s="55">
        <v>104</v>
      </c>
      <c r="B105" s="14" t="s">
        <v>194</v>
      </c>
      <c r="C105" s="14" t="s">
        <v>312</v>
      </c>
    </row>
    <row r="106" spans="1:3" x14ac:dyDescent="0.35">
      <c r="A106" s="55">
        <v>105</v>
      </c>
      <c r="B106" s="14" t="s">
        <v>195</v>
      </c>
      <c r="C106" s="14" t="s">
        <v>313</v>
      </c>
    </row>
    <row r="107" spans="1:3" x14ac:dyDescent="0.35">
      <c r="A107" s="55">
        <v>106</v>
      </c>
      <c r="B107" s="14" t="s">
        <v>198</v>
      </c>
      <c r="C107" s="14" t="s">
        <v>314</v>
      </c>
    </row>
    <row r="108" spans="1:3" x14ac:dyDescent="0.35">
      <c r="A108" s="55">
        <v>107</v>
      </c>
      <c r="B108" s="14" t="s">
        <v>192</v>
      </c>
      <c r="C108" s="14" t="s">
        <v>196</v>
      </c>
    </row>
    <row r="109" spans="1:3" x14ac:dyDescent="0.35">
      <c r="A109" s="55">
        <v>108</v>
      </c>
      <c r="B109" s="14" t="s">
        <v>29</v>
      </c>
      <c r="C109" s="14" t="s">
        <v>315</v>
      </c>
    </row>
    <row r="110" spans="1:3" x14ac:dyDescent="0.35">
      <c r="A110" s="55">
        <v>109</v>
      </c>
      <c r="B110" s="14" t="s">
        <v>30</v>
      </c>
      <c r="C110" s="14" t="s">
        <v>316</v>
      </c>
    </row>
    <row r="111" spans="1:3" x14ac:dyDescent="0.35">
      <c r="A111" s="55">
        <v>110</v>
      </c>
      <c r="B111" s="14" t="s">
        <v>31</v>
      </c>
      <c r="C111" s="14" t="s">
        <v>317</v>
      </c>
    </row>
    <row r="112" spans="1:3" x14ac:dyDescent="0.35">
      <c r="A112" s="55">
        <v>111</v>
      </c>
      <c r="B112" s="14" t="s">
        <v>32</v>
      </c>
      <c r="C112" s="14" t="s">
        <v>318</v>
      </c>
    </row>
    <row r="113" spans="1:3" x14ac:dyDescent="0.35">
      <c r="A113" s="55">
        <v>112</v>
      </c>
      <c r="B113" s="14" t="s">
        <v>33</v>
      </c>
      <c r="C113" s="14" t="s">
        <v>319</v>
      </c>
    </row>
    <row r="114" spans="1:3" x14ac:dyDescent="0.35">
      <c r="A114" s="55">
        <v>113</v>
      </c>
      <c r="B114" s="14" t="s">
        <v>37</v>
      </c>
      <c r="C114" s="14" t="s">
        <v>320</v>
      </c>
    </row>
    <row r="115" spans="1:3" x14ac:dyDescent="0.35">
      <c r="A115" s="55">
        <v>114</v>
      </c>
      <c r="B115" s="14" t="s">
        <v>34</v>
      </c>
      <c r="C115" s="14" t="s">
        <v>321</v>
      </c>
    </row>
    <row r="116" spans="1:3" x14ac:dyDescent="0.35">
      <c r="A116" s="55">
        <v>115</v>
      </c>
      <c r="B116" s="14" t="s">
        <v>35</v>
      </c>
      <c r="C116" s="14" t="s">
        <v>322</v>
      </c>
    </row>
    <row r="117" spans="1:3" x14ac:dyDescent="0.35">
      <c r="A117" s="55">
        <v>116</v>
      </c>
      <c r="B117" s="14" t="s">
        <v>36</v>
      </c>
      <c r="C117" s="14" t="s">
        <v>323</v>
      </c>
    </row>
    <row r="118" spans="1:3" x14ac:dyDescent="0.35">
      <c r="A118" s="55">
        <v>117</v>
      </c>
      <c r="B118" s="14" t="s">
        <v>38</v>
      </c>
      <c r="C118" s="14" t="s">
        <v>324</v>
      </c>
    </row>
    <row r="119" spans="1:3" x14ac:dyDescent="0.35">
      <c r="A119" s="55">
        <v>118</v>
      </c>
      <c r="B119" s="14" t="s">
        <v>39</v>
      </c>
      <c r="C119" s="14" t="s">
        <v>325</v>
      </c>
    </row>
    <row r="120" spans="1:3" x14ac:dyDescent="0.35">
      <c r="A120" s="55">
        <v>119</v>
      </c>
      <c r="B120" s="14" t="s">
        <v>40</v>
      </c>
      <c r="C120" s="14" t="s">
        <v>326</v>
      </c>
    </row>
    <row r="121" spans="1:3" x14ac:dyDescent="0.35">
      <c r="A121" s="55">
        <v>120</v>
      </c>
      <c r="B121" s="14" t="s">
        <v>41</v>
      </c>
      <c r="C121" s="14" t="s">
        <v>327</v>
      </c>
    </row>
    <row r="122" spans="1:3" x14ac:dyDescent="0.35">
      <c r="A122" s="55">
        <v>121</v>
      </c>
      <c r="B122" s="14" t="s">
        <v>42</v>
      </c>
      <c r="C122" s="14" t="s">
        <v>328</v>
      </c>
    </row>
    <row r="123" spans="1:3" x14ac:dyDescent="0.35">
      <c r="A123" s="55">
        <v>122</v>
      </c>
      <c r="B123" s="14" t="s">
        <v>43</v>
      </c>
      <c r="C123" s="14" t="s">
        <v>329</v>
      </c>
    </row>
    <row r="124" spans="1:3" x14ac:dyDescent="0.35">
      <c r="A124" s="55">
        <v>123</v>
      </c>
      <c r="B124" s="14" t="s">
        <v>44</v>
      </c>
      <c r="C124" s="14" t="s">
        <v>330</v>
      </c>
    </row>
    <row r="125" spans="1:3" x14ac:dyDescent="0.35">
      <c r="A125" s="55">
        <v>124</v>
      </c>
      <c r="B125" s="14" t="s">
        <v>27</v>
      </c>
      <c r="C125" s="14" t="s">
        <v>331</v>
      </c>
    </row>
    <row r="126" spans="1:3" x14ac:dyDescent="0.35">
      <c r="A126" s="55">
        <v>125</v>
      </c>
      <c r="B126" s="14" t="s">
        <v>45</v>
      </c>
      <c r="C126" s="14" t="s">
        <v>332</v>
      </c>
    </row>
    <row r="127" spans="1:3" x14ac:dyDescent="0.35">
      <c r="A127" s="55">
        <v>126</v>
      </c>
      <c r="B127" s="14" t="s">
        <v>46</v>
      </c>
      <c r="C127" s="14" t="s">
        <v>333</v>
      </c>
    </row>
    <row r="128" spans="1:3" x14ac:dyDescent="0.35">
      <c r="A128" s="55">
        <v>127</v>
      </c>
      <c r="B128" s="14" t="s">
        <v>199</v>
      </c>
      <c r="C128" s="14" t="s">
        <v>334</v>
      </c>
    </row>
    <row r="129" spans="1:3" x14ac:dyDescent="0.35">
      <c r="A129" s="55">
        <v>128</v>
      </c>
      <c r="B129" s="14" t="s">
        <v>47</v>
      </c>
      <c r="C129" s="14" t="s">
        <v>335</v>
      </c>
    </row>
    <row r="130" spans="1:3" x14ac:dyDescent="0.35">
      <c r="A130" s="55">
        <v>129</v>
      </c>
      <c r="B130" s="14" t="s">
        <v>48</v>
      </c>
      <c r="C130" s="14" t="s">
        <v>336</v>
      </c>
    </row>
    <row r="131" spans="1:3" x14ac:dyDescent="0.35">
      <c r="A131" s="55">
        <v>130</v>
      </c>
      <c r="B131" s="14" t="s">
        <v>49</v>
      </c>
      <c r="C131" s="14" t="s">
        <v>337</v>
      </c>
    </row>
    <row r="132" spans="1:3" x14ac:dyDescent="0.35">
      <c r="A132" s="55">
        <v>131</v>
      </c>
      <c r="B132" s="14" t="s">
        <v>51</v>
      </c>
      <c r="C132" s="14" t="s">
        <v>338</v>
      </c>
    </row>
    <row r="133" spans="1:3" x14ac:dyDescent="0.35">
      <c r="A133" s="55">
        <v>132</v>
      </c>
      <c r="B133" s="14" t="s">
        <v>52</v>
      </c>
      <c r="C133" s="14" t="s">
        <v>339</v>
      </c>
    </row>
    <row r="134" spans="1:3" x14ac:dyDescent="0.35">
      <c r="A134" s="55">
        <v>133</v>
      </c>
      <c r="B134" s="14" t="s">
        <v>53</v>
      </c>
      <c r="C134" s="14" t="s">
        <v>340</v>
      </c>
    </row>
    <row r="135" spans="1:3" x14ac:dyDescent="0.35">
      <c r="A135" s="55">
        <v>134</v>
      </c>
      <c r="B135" s="14" t="s">
        <v>54</v>
      </c>
      <c r="C135" s="14" t="s">
        <v>341</v>
      </c>
    </row>
    <row r="136" spans="1:3" x14ac:dyDescent="0.35">
      <c r="A136" s="55">
        <v>135</v>
      </c>
      <c r="B136" s="14" t="s">
        <v>55</v>
      </c>
      <c r="C136" s="14" t="s">
        <v>342</v>
      </c>
    </row>
    <row r="137" spans="1:3" x14ac:dyDescent="0.35">
      <c r="A137" s="55">
        <v>136</v>
      </c>
      <c r="B137" s="14" t="s">
        <v>56</v>
      </c>
      <c r="C137" s="14" t="s">
        <v>343</v>
      </c>
    </row>
    <row r="138" spans="1:3" x14ac:dyDescent="0.35">
      <c r="A138" s="55">
        <v>137</v>
      </c>
      <c r="B138" s="14" t="s">
        <v>57</v>
      </c>
      <c r="C138" s="14" t="s">
        <v>344</v>
      </c>
    </row>
    <row r="139" spans="1:3" x14ac:dyDescent="0.35">
      <c r="A139" s="55">
        <v>138</v>
      </c>
      <c r="B139" s="14" t="s">
        <v>58</v>
      </c>
      <c r="C139" s="14" t="s">
        <v>345</v>
      </c>
    </row>
    <row r="140" spans="1:3" x14ac:dyDescent="0.35">
      <c r="A140" s="55">
        <v>139</v>
      </c>
      <c r="B140" s="14" t="s">
        <v>374</v>
      </c>
      <c r="C140" s="70" t="s">
        <v>373</v>
      </c>
    </row>
  </sheetData>
  <sheetProtection algorithmName="SHA-512" hashValue="rYtymi7lm1XoY6rcsgFSdmUw07HUdPgSOiYMsLVPbRFQf2T9XwBctZdFOjx5CnuKP7KBH3U/teCDWcQtUvAT0w==" saltValue="isViuaC2+5k3qcT9K5dH5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94A7-21B7-4850-ADAC-57A55584A465}">
  <dimension ref="A1:D10"/>
  <sheetViews>
    <sheetView workbookViewId="0">
      <selection activeCell="C6" sqref="C6"/>
    </sheetView>
  </sheetViews>
  <sheetFormatPr defaultRowHeight="14.5" x14ac:dyDescent="0.35"/>
  <cols>
    <col min="1" max="1" width="9.54296875" style="54" bestFit="1" customWidth="1"/>
    <col min="2" max="2" width="30.54296875" style="54" customWidth="1"/>
    <col min="3" max="3" width="53.36328125" style="54" bestFit="1" customWidth="1"/>
    <col min="4" max="4" width="19.08984375" style="54" customWidth="1"/>
    <col min="5" max="16384" width="8.7265625" style="54"/>
  </cols>
  <sheetData>
    <row r="1" spans="1:4" ht="20" thickBot="1" x14ac:dyDescent="0.4">
      <c r="A1" s="59" t="s">
        <v>76</v>
      </c>
      <c r="B1" s="59" t="s">
        <v>163</v>
      </c>
      <c r="C1" s="59" t="s">
        <v>160</v>
      </c>
      <c r="D1" s="59" t="s">
        <v>161</v>
      </c>
    </row>
    <row r="2" spans="1:4" ht="15" thickTop="1" x14ac:dyDescent="0.35">
      <c r="A2" s="63" t="s">
        <v>167</v>
      </c>
      <c r="B2" s="61">
        <v>45573</v>
      </c>
      <c r="C2" s="60" t="s">
        <v>168</v>
      </c>
      <c r="D2" s="60" t="s">
        <v>162</v>
      </c>
    </row>
    <row r="3" spans="1:4" ht="43.5" x14ac:dyDescent="0.35">
      <c r="A3" s="63" t="s">
        <v>353</v>
      </c>
      <c r="B3" s="61">
        <v>45658</v>
      </c>
      <c r="C3" s="62" t="s">
        <v>356</v>
      </c>
      <c r="D3" s="60" t="s">
        <v>162</v>
      </c>
    </row>
    <row r="4" spans="1:4" ht="87" x14ac:dyDescent="0.35">
      <c r="A4" s="63" t="s">
        <v>357</v>
      </c>
      <c r="B4" s="61">
        <v>45665</v>
      </c>
      <c r="C4" s="62" t="s">
        <v>360</v>
      </c>
      <c r="D4" s="60" t="s">
        <v>162</v>
      </c>
    </row>
    <row r="5" spans="1:4" ht="58" x14ac:dyDescent="0.35">
      <c r="A5" s="63" t="s">
        <v>375</v>
      </c>
      <c r="B5" s="61">
        <v>45901</v>
      </c>
      <c r="C5" s="60" t="s">
        <v>371</v>
      </c>
      <c r="D5" s="60" t="s">
        <v>162</v>
      </c>
    </row>
    <row r="6" spans="1:4" x14ac:dyDescent="0.35">
      <c r="A6" s="63" t="s">
        <v>376</v>
      </c>
      <c r="B6" s="61">
        <v>45924</v>
      </c>
      <c r="C6" s="60" t="s">
        <v>377</v>
      </c>
      <c r="D6" s="60" t="s">
        <v>162</v>
      </c>
    </row>
    <row r="7" spans="1:4" x14ac:dyDescent="0.35">
      <c r="A7" s="60"/>
      <c r="B7" s="61"/>
      <c r="C7" s="60"/>
      <c r="D7" s="60"/>
    </row>
    <row r="8" spans="1:4" x14ac:dyDescent="0.35">
      <c r="A8" s="60"/>
      <c r="B8" s="61"/>
      <c r="C8" s="60"/>
      <c r="D8" s="60"/>
    </row>
    <row r="9" spans="1:4" x14ac:dyDescent="0.35">
      <c r="A9" s="60"/>
      <c r="B9" s="61"/>
      <c r="C9" s="60"/>
      <c r="D9" s="60"/>
    </row>
    <row r="10" spans="1:4" x14ac:dyDescent="0.35">
      <c r="A10" s="60"/>
      <c r="B10" s="61"/>
      <c r="C10" s="60"/>
      <c r="D10" s="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0E5DB-B203-4210-A391-F25BF5CB54FB}">
  <dimension ref="A1:H32"/>
  <sheetViews>
    <sheetView showGridLines="0" tabSelected="1" zoomScaleNormal="100" workbookViewId="0">
      <selection activeCell="B9" sqref="B9"/>
    </sheetView>
  </sheetViews>
  <sheetFormatPr defaultRowHeight="14.5" x14ac:dyDescent="0.35"/>
  <cols>
    <col min="1" max="1" width="27" style="3" customWidth="1"/>
    <col min="2" max="2" width="36.6328125" style="3" customWidth="1"/>
    <col min="3" max="3" width="8.7265625" style="3" customWidth="1"/>
    <col min="4" max="4" width="6.08984375" style="3" customWidth="1"/>
    <col min="5" max="5" width="29.6328125" style="3" customWidth="1"/>
    <col min="6" max="6" width="38.453125" style="3" customWidth="1"/>
    <col min="7" max="7" width="34.90625" style="3" customWidth="1"/>
    <col min="8" max="8" width="33.1796875" style="3" customWidth="1"/>
    <col min="9" max="9" width="81.08984375" style="3" bestFit="1" customWidth="1"/>
    <col min="10" max="10" width="8.7265625" style="3"/>
    <col min="11" max="11" width="67.54296875" style="3" customWidth="1"/>
    <col min="12" max="16384" width="8.7265625" style="3"/>
  </cols>
  <sheetData>
    <row r="1" spans="1:8" ht="18.5" x14ac:dyDescent="0.35">
      <c r="A1" s="1" t="s">
        <v>174</v>
      </c>
      <c r="B1" s="2" t="s">
        <v>346</v>
      </c>
    </row>
    <row r="3" spans="1:8" ht="20" thickBot="1" x14ac:dyDescent="0.4">
      <c r="A3" s="4" t="str">
        <f>VLOOKUP(1,Rečnik[],LEFT($B$1,1)+1,FALSE)</f>
        <v>Podaci o Aplikantu</v>
      </c>
      <c r="B3" s="5"/>
      <c r="D3" s="6" t="str">
        <f>VLOOKUP(26,Rečnik[],LEFT($B$1,1)+1,FALSE)</f>
        <v>Obrazovanje</v>
      </c>
      <c r="E3" s="7"/>
      <c r="F3" s="7"/>
      <c r="G3" s="7"/>
      <c r="H3" s="7"/>
    </row>
    <row r="4" spans="1:8" ht="15" thickTop="1" x14ac:dyDescent="0.35">
      <c r="A4" s="8" t="str">
        <f>VLOOKUP(2,Rečnik[],LEFT($B$1,1)+1,FALSE)</f>
        <v>Ime</v>
      </c>
      <c r="B4" s="9"/>
      <c r="D4" s="10" t="s">
        <v>76</v>
      </c>
      <c r="E4" s="10" t="str">
        <f>VLOOKUP(27,Rečnik[],LEFT($B$1,1)+1,FALSE)</f>
        <v>Nivo obrazovanja</v>
      </c>
      <c r="F4" s="10" t="str">
        <f>VLOOKUP(28,Rečnik[],LEFT($B$1,1)+1,FALSE)</f>
        <v>Oblast</v>
      </c>
      <c r="G4" s="10" t="str">
        <f>VLOOKUP(29,Rečnik[],LEFT($B$1,1)+1,FALSE)</f>
        <v>Datum završetka</v>
      </c>
      <c r="H4" s="10" t="str">
        <f>VLOOKUP(30,Rečnik[],LEFT($B$1,1)+1,FALSE)</f>
        <v>Obrazovna institucija</v>
      </c>
    </row>
    <row r="5" spans="1:8" x14ac:dyDescent="0.35">
      <c r="A5" s="8" t="str">
        <f>VLOOKUP(3,Rečnik[],LEFT($B$1,1)+1,FALSE)</f>
        <v>Prezime</v>
      </c>
      <c r="B5" s="9"/>
      <c r="D5" s="10">
        <v>1</v>
      </c>
      <c r="E5" s="9"/>
      <c r="F5" s="9"/>
      <c r="G5" s="9"/>
      <c r="H5" s="9"/>
    </row>
    <row r="6" spans="1:8" x14ac:dyDescent="0.35">
      <c r="A6" s="8" t="str">
        <f>VLOOKUP(4,Rečnik[],LEFT($B$1,1)+1,FALSE)</f>
        <v>Adresa</v>
      </c>
      <c r="B6" s="9"/>
      <c r="D6" s="10">
        <v>2</v>
      </c>
      <c r="E6" s="9"/>
      <c r="F6" s="9"/>
      <c r="G6" s="9"/>
      <c r="H6" s="9"/>
    </row>
    <row r="7" spans="1:8" x14ac:dyDescent="0.35">
      <c r="A7" s="8" t="str">
        <f>VLOOKUP(5,Rečnik[],LEFT($B$1,1)+1,FALSE)</f>
        <v>Datum rođenja</v>
      </c>
      <c r="B7" s="11"/>
      <c r="D7" s="10">
        <v>3</v>
      </c>
      <c r="E7" s="9"/>
      <c r="F7" s="9"/>
      <c r="G7" s="9"/>
      <c r="H7" s="9"/>
    </row>
    <row r="8" spans="1:8" x14ac:dyDescent="0.35">
      <c r="A8" s="8" t="str">
        <f>VLOOKUP(6,Rečnik[],LEFT($B$1,1)+1,FALSE)</f>
        <v>Email</v>
      </c>
      <c r="B8" s="12"/>
      <c r="D8" s="10">
        <v>4</v>
      </c>
      <c r="E8" s="9"/>
      <c r="F8" s="9"/>
      <c r="G8" s="9"/>
      <c r="H8" s="9"/>
    </row>
    <row r="9" spans="1:8" x14ac:dyDescent="0.35">
      <c r="A9" s="8" t="str">
        <f>VLOOKUP(7,Rečnik[],LEFT($B$1,1)+1,FALSE)</f>
        <v>Kontakt telefon</v>
      </c>
      <c r="B9" s="9"/>
      <c r="D9" s="10">
        <v>5</v>
      </c>
      <c r="E9" s="9"/>
      <c r="F9" s="9"/>
      <c r="G9" s="9"/>
      <c r="H9" s="9"/>
    </row>
    <row r="10" spans="1:8" x14ac:dyDescent="0.35">
      <c r="A10" s="8" t="str">
        <f>VLOOKUP(8,Rečnik[],LEFT($B$1,1)+1,FALSE)</f>
        <v>Važeći dokument</v>
      </c>
      <c r="B10" s="9"/>
      <c r="D10" s="10">
        <v>6</v>
      </c>
      <c r="E10" s="9"/>
      <c r="F10" s="9"/>
      <c r="G10" s="9"/>
      <c r="H10" s="9"/>
    </row>
    <row r="11" spans="1:8" x14ac:dyDescent="0.35">
      <c r="A11" s="8" t="str">
        <f>VLOOKUP(9,Rečnik[],LEFT($B$1,1)+1,FALSE)</f>
        <v>Broj dokumenta</v>
      </c>
      <c r="B11" s="9"/>
    </row>
    <row r="12" spans="1:8" x14ac:dyDescent="0.35">
      <c r="A12" s="8" t="str">
        <f>VLOOKUP(10,Rečnik[],LEFT($B$1,1)+1,FALSE)</f>
        <v>Važi do</v>
      </c>
      <c r="B12" s="11"/>
      <c r="D12" s="68" t="e" vm="1">
        <v>#VALUE!</v>
      </c>
      <c r="E12" s="68"/>
    </row>
    <row r="13" spans="1:8" x14ac:dyDescent="0.35">
      <c r="A13" s="8" t="str">
        <f>VLOOKUP(11,Rečnik[],LEFT($B$1,1)+1,FALSE)</f>
        <v>Profesija</v>
      </c>
      <c r="B13" s="9"/>
      <c r="D13" s="68"/>
      <c r="E13" s="68"/>
    </row>
    <row r="14" spans="1:8" x14ac:dyDescent="0.35">
      <c r="A14" s="8" t="str">
        <f>VLOOKUP(139,Rečnik[],LEFT($B$1,1)+1,FALSE)</f>
        <v>Firma</v>
      </c>
      <c r="B14" s="9"/>
      <c r="D14" s="68"/>
      <c r="E14" s="68"/>
    </row>
    <row r="15" spans="1:8" x14ac:dyDescent="0.35">
      <c r="A15" s="8" t="str">
        <f>VLOOKUP(12,Rečnik[],LEFT($B$1,1)+1,FALSE)</f>
        <v>Član profesionalnog udruženja</v>
      </c>
      <c r="B15" s="9"/>
      <c r="D15" s="68"/>
      <c r="E15" s="68"/>
    </row>
    <row r="16" spans="1:8" x14ac:dyDescent="0.35">
      <c r="A16" s="8" t="str">
        <f>VLOOKUP(13,Rečnik[],LEFT($B$1,1)+1,FALSE)</f>
        <v>Članski broj</v>
      </c>
      <c r="B16" s="9"/>
      <c r="D16" s="68"/>
      <c r="E16" s="68"/>
    </row>
    <row r="18" spans="1:2" ht="20" thickBot="1" x14ac:dyDescent="0.4">
      <c r="A18" s="5" t="str">
        <f>VLOOKUP(14,Rečnik[],LEFT($B$1,1)+1,FALSE)</f>
        <v>Tip sertifikacije</v>
      </c>
      <c r="B18" s="5"/>
    </row>
    <row r="19" spans="1:2" ht="15" thickTop="1" x14ac:dyDescent="0.35">
      <c r="A19" s="8" t="str">
        <f>VLOOKUP(15,Rečnik[],LEFT($B$1,1)+1,FALSE)</f>
        <v>Tip prijave</v>
      </c>
      <c r="B19" s="9"/>
    </row>
    <row r="20" spans="1:2" x14ac:dyDescent="0.35">
      <c r="A20" s="8" t="str">
        <f>VLOOKUP(16,Rečnik[],LEFT($B$1,1)+1,FALSE)</f>
        <v>Nivo</v>
      </c>
      <c r="B20" s="9"/>
    </row>
    <row r="21" spans="1:2" x14ac:dyDescent="0.35">
      <c r="A21" s="8" t="str">
        <f>VLOOKUP(17,Rečnik[],LEFT($B$1,1)+1,FALSE)</f>
        <v>Broj sertifikata</v>
      </c>
      <c r="B21" s="9"/>
    </row>
    <row r="22" spans="1:2" x14ac:dyDescent="0.35">
      <c r="A22" s="8" t="str">
        <f>VLOOKUP(18,Rečnik[],LEFT($B$1,1)+1,FALSE)</f>
        <v>Validan do</v>
      </c>
      <c r="B22" s="11"/>
    </row>
    <row r="23" spans="1:2" x14ac:dyDescent="0.35">
      <c r="A23" s="8" t="str">
        <f>VLOOKUP(19,Rečnik[],LEFT($B$1,1)+1,FALSE)</f>
        <v>Izdat od strane</v>
      </c>
      <c r="B23" s="9"/>
    </row>
    <row r="25" spans="1:2" x14ac:dyDescent="0.35">
      <c r="A25" s="8" t="str">
        <f>VLOOKUP(20,Rečnik[],LEFT($B$1,1)+1,FALSE)</f>
        <v>Datum prijave</v>
      </c>
      <c r="B25" s="11"/>
    </row>
    <row r="27" spans="1:2" x14ac:dyDescent="0.35">
      <c r="A27" s="13" t="b">
        <v>0</v>
      </c>
      <c r="B27" s="14" t="str">
        <f>VLOOKUP(21,Rečnik[],LEFT($B$1,1)+1,FALSE)</f>
        <v>Slažem se sa uslovima</v>
      </c>
    </row>
    <row r="28" spans="1:2" x14ac:dyDescent="0.35">
      <c r="A28" s="13" t="b">
        <v>0</v>
      </c>
      <c r="B28" s="14" t="str">
        <f>VLOOKUP(22,Rečnik[],LEFT($B$1,1)+1,FALSE)</f>
        <v>Želim da me X-Cert putem mejla obaveštava o aktuelnim dešavanjima</v>
      </c>
    </row>
    <row r="29" spans="1:2" x14ac:dyDescent="0.35">
      <c r="A29" s="13" t="b">
        <v>0</v>
      </c>
      <c r="B29" s="14" t="str">
        <f>VLOOKUP(23,Rečnik[],LEFT($B$1,1)+1,FALSE)</f>
        <v>Potrebna su mi prilagođavanja posebnim potrebama (disleksija, slabovidost i drugo)</v>
      </c>
    </row>
    <row r="31" spans="1:2" ht="20" thickBot="1" x14ac:dyDescent="0.4">
      <c r="A31" s="5" t="str">
        <f>VLOOKUP(24,Rečnik[],LEFT($B$1,1)+1,FALSE)</f>
        <v>Uslovi</v>
      </c>
      <c r="B31" s="5"/>
    </row>
    <row r="32" spans="1:2" ht="190" customHeight="1" thickTop="1" x14ac:dyDescent="0.35">
      <c r="A32" s="67" t="str">
        <f>VLOOKUP(25,Rečnik[],LEFT($B$1,1)+1,FALSE)</f>
        <v>Aplikant je u obavezi da poštuje pravila i procedure IPMA 4-L-C sistema sertifikacije, uključujući:
●	Vlasništvo i korišćenje sertifikata;
●	Proceduru sertifikacije X-Cert;
●	Finansijske odredbe i uslove X-Cert;
●	IPMA etički kodeks;
●	Proces žalbi i primedbi X-Cert.
Aplikant je u obavezi da se saglasi sa čuvanjem i korišćenjem njegovog imena i podataka o sertifikatu u bazi podataka X-Cert i IPMA, za potrebe IPMA validacije, odnosno za potrebe provere verodostojnossti informacija pomoću referentnih osoba imenovanih u prijavi.</v>
      </c>
      <c r="B32" s="67"/>
    </row>
  </sheetData>
  <sheetProtection algorithmName="SHA-512" hashValue="Gt6FY/hW4diCeTXiF2zjHc5l6zo7yYLS5V4CDJNxri8tHIJD8InHdlHeH79AwZMpByN1wkEA0Gq8yS5FqeKHow==" saltValue="vZ/8Uoy4UHSIhdnzPAa1bg==" spinCount="100000" sheet="1" objects="1" scenarios="1"/>
  <mergeCells count="2">
    <mergeCell ref="A32:B32"/>
    <mergeCell ref="D12:E16"/>
  </mergeCells>
  <dataValidations xWindow="796" yWindow="869" count="3">
    <dataValidation type="list" allowBlank="1" showErrorMessage="1" error="Please, choose valid option from dropdown." prompt=" " sqref="B20" xr:uid="{BFCAB72B-D18B-4E94-B274-23E4D8D143CF}">
      <formula1>ListaNivoa</formula1>
    </dataValidation>
    <dataValidation type="list" allowBlank="1" showErrorMessage="1" error="Molimo Vas da izaberete jednu od opcija iz padajućeg menija" prompt=" " sqref="B19" xr:uid="{57BD7A18-3F50-4D81-BBAF-44A5C4530EB3}">
      <formula1>ListaTipovaPrijave</formula1>
    </dataValidation>
    <dataValidation type="list" allowBlank="1" showInputMessage="1" showErrorMessage="1" sqref="B1" xr:uid="{ADF5AE49-113F-48D8-A1A6-0769784F07BC}">
      <formula1>"1 - Srpski, 2 - Engleski"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BF14-4CCF-4136-83C8-7AF6A30D9E99}">
  <dimension ref="B1:K39"/>
  <sheetViews>
    <sheetView showGridLines="0" zoomScaleNormal="100" zoomScalePageLayoutView="125" workbookViewId="0"/>
  </sheetViews>
  <sheetFormatPr defaultColWidth="9.90625" defaultRowHeight="12.5" x14ac:dyDescent="0.35"/>
  <cols>
    <col min="1" max="1" width="2.7265625" style="23" customWidth="1"/>
    <col min="2" max="2" width="7" style="23" customWidth="1"/>
    <col min="3" max="3" width="37.36328125" style="23" customWidth="1"/>
    <col min="4" max="5" width="13.90625" style="23" customWidth="1"/>
    <col min="6" max="6" width="47.08984375" style="23" customWidth="1"/>
    <col min="7" max="7" width="9.90625" style="23"/>
    <col min="8" max="8" width="29.6328125" style="23" bestFit="1" customWidth="1"/>
    <col min="9" max="11" width="4.1796875" style="23" customWidth="1"/>
    <col min="12" max="16384" width="9.90625" style="23"/>
  </cols>
  <sheetData>
    <row r="1" spans="2:11" s="15" customFormat="1" ht="20.149999999999999" customHeight="1" x14ac:dyDescent="0.35">
      <c r="D1" s="16" t="str">
        <f>VLOOKUP(31,Rečnik[],LEFT(General!$B$1,1)+1,FALSE)</f>
        <v>1 = Ne ili malo verovatno;  2 = Možda ili verovatno;  3 = Veoma verovatno ili definitivno</v>
      </c>
      <c r="E1" s="17"/>
      <c r="F1" s="17"/>
    </row>
    <row r="2" spans="2:11" s="15" customFormat="1" ht="40" customHeight="1" x14ac:dyDescent="0.35">
      <c r="B2" s="69" t="str">
        <f>VLOOKUP(32,Rečnik[],LEFT(General!$B$1,1)+1,FALSE)</f>
        <v>Element kompetencije</v>
      </c>
      <c r="C2" s="69"/>
      <c r="D2" s="18" t="str">
        <f>VLOOKUP(33,Rečnik[],LEFT(General!$B$1,1)+1,FALSE)</f>
        <v>Znanje (1-3)</v>
      </c>
      <c r="E2" s="18" t="str">
        <f>VLOOKUP(34,Rečnik[],LEFT(General!$B$1,1)+1,FALSE)</f>
        <v>Veštine i sposobnosti (1-3)</v>
      </c>
      <c r="F2" s="19" t="str">
        <f>VLOOKUP(35,Rečnik[],LEFT(General!$B$1,1)+1,FALSE)</f>
        <v>Napomena, komentar (opciono)</v>
      </c>
    </row>
    <row r="3" spans="2:11" s="20" customFormat="1" ht="14" x14ac:dyDescent="0.3"/>
    <row r="4" spans="2:11" ht="18" customHeight="1" thickBot="1" x14ac:dyDescent="0.4">
      <c r="B4" s="21"/>
      <c r="C4" s="22" t="str">
        <f>VLOOKUP(36,Rečnik[],LEFT(General!$B$1,1)+1,FALSE)</f>
        <v>Perspektiva</v>
      </c>
      <c r="D4" s="22"/>
      <c r="E4" s="22"/>
      <c r="F4" s="21"/>
    </row>
    <row r="5" spans="2:11" ht="16" customHeight="1" thickTop="1" x14ac:dyDescent="0.35">
      <c r="B5" s="24" t="s">
        <v>110</v>
      </c>
      <c r="C5" s="25" t="str">
        <f>VLOOKUP(37,Rečnik[],LEFT(General!$B$1,1)+1,FALSE)</f>
        <v>Strategija</v>
      </c>
      <c r="D5" s="39"/>
      <c r="E5" s="39"/>
      <c r="F5" s="40"/>
    </row>
    <row r="6" spans="2:11" ht="16" customHeight="1" x14ac:dyDescent="0.35">
      <c r="B6" s="24" t="s">
        <v>111</v>
      </c>
      <c r="C6" s="25" t="str">
        <f>VLOOKUP(38,Rečnik[],LEFT(General!$B$1,1)+1,FALSE)</f>
        <v>Upravljanje, strukture i procesi</v>
      </c>
      <c r="D6" s="39"/>
      <c r="E6" s="39"/>
      <c r="F6" s="41"/>
    </row>
    <row r="7" spans="2:11" ht="16" customHeight="1" x14ac:dyDescent="0.35">
      <c r="B7" s="24" t="s">
        <v>112</v>
      </c>
      <c r="C7" s="25" t="str">
        <f>VLOOKUP(39,Rečnik[],LEFT(General!$B$1,1)+1,FALSE)</f>
        <v>Usklađenost, standardi i propisi</v>
      </c>
      <c r="D7" s="39"/>
      <c r="E7" s="39"/>
      <c r="F7" s="41"/>
    </row>
    <row r="8" spans="2:11" ht="16" customHeight="1" x14ac:dyDescent="0.35">
      <c r="B8" s="24" t="s">
        <v>113</v>
      </c>
      <c r="C8" s="25" t="str">
        <f>VLOOKUP(40,Rečnik[],LEFT(General!$B$1,1)+1,FALSE)</f>
        <v>Moć i interes</v>
      </c>
      <c r="D8" s="39"/>
      <c r="E8" s="39"/>
      <c r="F8" s="41"/>
    </row>
    <row r="9" spans="2:11" ht="16" customHeight="1" x14ac:dyDescent="0.35">
      <c r="B9" s="24" t="s">
        <v>114</v>
      </c>
      <c r="C9" s="25" t="str">
        <f>VLOOKUP(41,Rečnik[],LEFT(General!$B$1,1)+1,FALSE)</f>
        <v>Kultura i vrednosti</v>
      </c>
      <c r="D9" s="39"/>
      <c r="E9" s="39"/>
      <c r="F9" s="41"/>
    </row>
    <row r="10" spans="2:11" ht="14" x14ac:dyDescent="0.35">
      <c r="D10" s="27"/>
      <c r="E10" s="28"/>
      <c r="F10" s="29"/>
    </row>
    <row r="11" spans="2:11" ht="18" customHeight="1" thickBot="1" x14ac:dyDescent="0.4">
      <c r="B11" s="21"/>
      <c r="C11" s="22" t="str">
        <f>VLOOKUP(42,Rečnik[],LEFT(General!$B$1,1)+1,FALSE)</f>
        <v>Ljudi</v>
      </c>
      <c r="D11" s="22"/>
      <c r="E11" s="22"/>
      <c r="F11" s="30"/>
    </row>
    <row r="12" spans="2:11" ht="16" customHeight="1" thickTop="1" thickBot="1" x14ac:dyDescent="0.4">
      <c r="B12" s="24" t="s">
        <v>115</v>
      </c>
      <c r="C12" s="25" t="str">
        <f>VLOOKUP(43,Rečnik[],LEFT(General!$B$1,1)+1,FALSE)</f>
        <v>Samopromišljanje i upravljanje sobom</v>
      </c>
      <c r="D12" s="39"/>
      <c r="E12" s="39"/>
      <c r="F12" s="42"/>
      <c r="H12" s="31" t="str">
        <f>VLOOKUP(69,Rečnik[],LEFT(General!$B$1,1)+1,FALSE)</f>
        <v>Znanje</v>
      </c>
      <c r="I12" s="31">
        <v>1</v>
      </c>
      <c r="J12" s="31">
        <v>2</v>
      </c>
      <c r="K12" s="31">
        <v>3</v>
      </c>
    </row>
    <row r="13" spans="2:11" ht="16" customHeight="1" thickTop="1" x14ac:dyDescent="0.35">
      <c r="B13" s="24" t="s">
        <v>116</v>
      </c>
      <c r="C13" s="25" t="str">
        <f>VLOOKUP(44,Rečnik[],LEFT(General!$B$1,1)+1,FALSE)</f>
        <v>Lični integritet i pouzdanost</v>
      </c>
      <c r="D13" s="39"/>
      <c r="E13" s="39"/>
      <c r="F13" s="41"/>
      <c r="H13" s="32" t="str">
        <f>VLOOKUP(36,Rečnik[],LEFT(General!$B$1,1)+1,FALSE)</f>
        <v>Perspektiva</v>
      </c>
      <c r="I13" s="26">
        <f>COUNTIF($D$5:$D$9,I12)</f>
        <v>0</v>
      </c>
      <c r="J13" s="26">
        <f>COUNTIF($D$5:$D$9,J12)</f>
        <v>0</v>
      </c>
      <c r="K13" s="26">
        <f>COUNTIF($D$5:$D$9,K12)</f>
        <v>0</v>
      </c>
    </row>
    <row r="14" spans="2:11" ht="16" customHeight="1" x14ac:dyDescent="0.35">
      <c r="B14" s="24" t="s">
        <v>117</v>
      </c>
      <c r="C14" s="25" t="str">
        <f>VLOOKUP(45,Rečnik[],LEFT(General!$B$1,1)+1,FALSE)</f>
        <v>Lična komunikacija</v>
      </c>
      <c r="D14" s="39"/>
      <c r="E14" s="39"/>
      <c r="F14" s="41"/>
      <c r="H14" s="32" t="str">
        <f>VLOOKUP(42,Rečnik[],LEFT(General!$B$1,1)+1,FALSE)</f>
        <v>Ljudi</v>
      </c>
      <c r="I14" s="26">
        <f>COUNTIF($D$12:$D$21,I12)</f>
        <v>0</v>
      </c>
      <c r="J14" s="26">
        <f>COUNTIF($D$12:$D$21,J12)</f>
        <v>0</v>
      </c>
      <c r="K14" s="26">
        <f>COUNTIF($D$12:$D$21,K12)</f>
        <v>0</v>
      </c>
    </row>
    <row r="15" spans="2:11" ht="16" customHeight="1" x14ac:dyDescent="0.35">
      <c r="B15" s="24" t="s">
        <v>118</v>
      </c>
      <c r="C15" s="25" t="str">
        <f>VLOOKUP(46,Rečnik[],LEFT(General!$B$1,1)+1,FALSE)</f>
        <v>Odnosi i angažovanost</v>
      </c>
      <c r="D15" s="39"/>
      <c r="E15" s="39"/>
      <c r="F15" s="41"/>
      <c r="H15" s="32" t="str">
        <f>VLOOKUP(53,Rečnik[],LEFT(General!$B$1,1)+1,FALSE)</f>
        <v>Praksa</v>
      </c>
      <c r="I15" s="26">
        <f>COUNTIF($D$24:$D$37,I12)</f>
        <v>0</v>
      </c>
      <c r="J15" s="26">
        <f>COUNTIF($D$24:$D$37,J12)</f>
        <v>0</v>
      </c>
      <c r="K15" s="26">
        <f>COUNTIF($D$24:$D$37,K12)</f>
        <v>0</v>
      </c>
    </row>
    <row r="16" spans="2:11" ht="16" customHeight="1" x14ac:dyDescent="0.35">
      <c r="B16" s="24" t="s">
        <v>119</v>
      </c>
      <c r="C16" s="25" t="str">
        <f>VLOOKUP(47,Rečnik[],LEFT(General!$B$1,1)+1,FALSE)</f>
        <v>Liderstvo</v>
      </c>
      <c r="D16" s="39"/>
      <c r="E16" s="39"/>
      <c r="F16" s="41"/>
      <c r="H16" s="33" t="str">
        <f>VLOOKUP(70,Rečnik[],LEFT(General!$B$1,1)+1,FALSE)</f>
        <v>Ukupno</v>
      </c>
      <c r="I16" s="34">
        <f>SUM(I13:I15)</f>
        <v>0</v>
      </c>
      <c r="J16" s="34">
        <f>SUM(J13:J15)</f>
        <v>0</v>
      </c>
      <c r="K16" s="34">
        <f>SUM(K13:K15)</f>
        <v>0</v>
      </c>
    </row>
    <row r="17" spans="2:11" ht="16" customHeight="1" x14ac:dyDescent="0.35">
      <c r="B17" s="24" t="s">
        <v>120</v>
      </c>
      <c r="C17" s="25" t="str">
        <f>VLOOKUP(48,Rečnik[],LEFT(General!$B$1,1)+1,FALSE)</f>
        <v>Timski rad</v>
      </c>
      <c r="D17" s="39"/>
      <c r="E17" s="39"/>
      <c r="F17" s="41"/>
      <c r="H17" s="35"/>
      <c r="I17" s="35"/>
      <c r="J17" s="35"/>
      <c r="K17" s="35"/>
    </row>
    <row r="18" spans="2:11" ht="16" customHeight="1" thickBot="1" x14ac:dyDescent="0.4">
      <c r="B18" s="24" t="s">
        <v>121</v>
      </c>
      <c r="C18" s="25" t="str">
        <f>VLOOKUP(49,Rečnik[],LEFT(General!$B$1,1)+1,FALSE)</f>
        <v>Konflikt i kriza</v>
      </c>
      <c r="D18" s="39"/>
      <c r="E18" s="39"/>
      <c r="F18" s="41"/>
      <c r="H18" s="31" t="str">
        <f>VLOOKUP(71,Rečnik[],LEFT(General!$B$1,1)+1,FALSE)</f>
        <v>Veštine i sposobnosti</v>
      </c>
      <c r="I18" s="31">
        <v>1</v>
      </c>
      <c r="J18" s="31">
        <v>2</v>
      </c>
      <c r="K18" s="31">
        <v>3</v>
      </c>
    </row>
    <row r="19" spans="2:11" ht="16" customHeight="1" thickTop="1" x14ac:dyDescent="0.35">
      <c r="B19" s="24" t="s">
        <v>122</v>
      </c>
      <c r="C19" s="25" t="str">
        <f>VLOOKUP(50,Rečnik[],LEFT(General!$B$1,1)+1,FALSE)</f>
        <v>Snalažljivost</v>
      </c>
      <c r="D19" s="39"/>
      <c r="E19" s="39"/>
      <c r="F19" s="41"/>
      <c r="H19" s="32" t="str">
        <f>VLOOKUP(36,Rečnik[],LEFT(General!$B$1,1)+1,FALSE)</f>
        <v>Perspektiva</v>
      </c>
      <c r="I19" s="26">
        <f>COUNTIF($E$5:$E$9,I18)</f>
        <v>0</v>
      </c>
      <c r="J19" s="26">
        <f t="shared" ref="J19:K19" si="0">COUNTIF($E$5:$E$9,J18)</f>
        <v>0</v>
      </c>
      <c r="K19" s="26">
        <f t="shared" si="0"/>
        <v>0</v>
      </c>
    </row>
    <row r="20" spans="2:11" ht="16" customHeight="1" x14ac:dyDescent="0.35">
      <c r="B20" s="24" t="s">
        <v>123</v>
      </c>
      <c r="C20" s="25" t="str">
        <f>VLOOKUP(51,Rečnik[],LEFT(General!$B$1,1)+1,FALSE)</f>
        <v>Pregovaranje</v>
      </c>
      <c r="D20" s="39"/>
      <c r="E20" s="39"/>
      <c r="F20" s="41"/>
      <c r="H20" s="32" t="str">
        <f>VLOOKUP(42,Rečnik[],LEFT(General!$B$1,1)+1,FALSE)</f>
        <v>Ljudi</v>
      </c>
      <c r="I20" s="26">
        <f>COUNTIF($E$12:$E$21,I18)</f>
        <v>0</v>
      </c>
      <c r="J20" s="26">
        <f t="shared" ref="J20:K20" si="1">COUNTIF($E$12:$E$21,J18)</f>
        <v>0</v>
      </c>
      <c r="K20" s="26">
        <f t="shared" si="1"/>
        <v>0</v>
      </c>
    </row>
    <row r="21" spans="2:11" ht="16" customHeight="1" x14ac:dyDescent="0.35">
      <c r="B21" s="24" t="s">
        <v>124</v>
      </c>
      <c r="C21" s="25" t="str">
        <f>VLOOKUP(52,Rečnik[],LEFT(General!$B$1,1)+1,FALSE)</f>
        <v>Usmerenost na rezultate</v>
      </c>
      <c r="D21" s="39"/>
      <c r="E21" s="39"/>
      <c r="F21" s="41"/>
      <c r="H21" s="32" t="str">
        <f>VLOOKUP(53,Rečnik[],LEFT(General!$B$1,1)+1,FALSE)</f>
        <v>Praksa</v>
      </c>
      <c r="I21" s="26">
        <f>COUNTIF($E$24:$E$37,I18)</f>
        <v>0</v>
      </c>
      <c r="J21" s="26">
        <f t="shared" ref="J21:K21" si="2">COUNTIF($E$24:$E$37,J18)</f>
        <v>0</v>
      </c>
      <c r="K21" s="26">
        <f t="shared" si="2"/>
        <v>0</v>
      </c>
    </row>
    <row r="22" spans="2:11" ht="14" x14ac:dyDescent="0.35">
      <c r="C22" s="36"/>
      <c r="D22" s="28"/>
      <c r="E22" s="28"/>
      <c r="F22" s="29"/>
      <c r="H22" s="33" t="str">
        <f>VLOOKUP(70,Rečnik[],LEFT(General!$B$1,1)+1,FALSE)</f>
        <v>Ukupno</v>
      </c>
      <c r="I22" s="34">
        <f>SUM(I19:I21)</f>
        <v>0</v>
      </c>
      <c r="J22" s="34">
        <f>SUM(J19:J21)</f>
        <v>0</v>
      </c>
      <c r="K22" s="34">
        <f>SUM(K19:K21)</f>
        <v>0</v>
      </c>
    </row>
    <row r="23" spans="2:11" ht="18" customHeight="1" thickBot="1" x14ac:dyDescent="0.4">
      <c r="B23" s="21"/>
      <c r="C23" s="22" t="str">
        <f>VLOOKUP(53,Rečnik[],LEFT(General!$B$1,1)+1,FALSE)</f>
        <v>Praksa</v>
      </c>
      <c r="D23" s="22"/>
      <c r="E23" s="22"/>
      <c r="F23" s="30"/>
    </row>
    <row r="24" spans="2:11" ht="16" customHeight="1" thickTop="1" x14ac:dyDescent="0.35">
      <c r="B24" s="24" t="s">
        <v>125</v>
      </c>
      <c r="C24" s="25" t="str">
        <f>VLOOKUP(54,Rečnik[],LEFT(General!$B$1,1)+1,FALSE)</f>
        <v>Osmišljavanje projekta</v>
      </c>
      <c r="D24" s="39"/>
      <c r="E24" s="39"/>
      <c r="F24" s="42"/>
    </row>
    <row r="25" spans="2:11" ht="16" customHeight="1" x14ac:dyDescent="0.35">
      <c r="B25" s="24" t="s">
        <v>126</v>
      </c>
      <c r="C25" s="25" t="str">
        <f>VLOOKUP(55,Rečnik[],LEFT(General!$B$1,1)+1,FALSE)</f>
        <v>Zahtevi i ciljevi</v>
      </c>
      <c r="D25" s="39"/>
      <c r="E25" s="39"/>
      <c r="F25" s="41"/>
    </row>
    <row r="26" spans="2:11" ht="16" customHeight="1" x14ac:dyDescent="0.35">
      <c r="B26" s="24" t="s">
        <v>127</v>
      </c>
      <c r="C26" s="25" t="str">
        <f>VLOOKUP(56,Rečnik[],LEFT(General!$B$1,1)+1,FALSE)</f>
        <v>Obuhvat</v>
      </c>
      <c r="D26" s="39"/>
      <c r="E26" s="39"/>
      <c r="F26" s="41"/>
    </row>
    <row r="27" spans="2:11" ht="16" customHeight="1" x14ac:dyDescent="0.35">
      <c r="B27" s="24" t="s">
        <v>128</v>
      </c>
      <c r="C27" s="25" t="str">
        <f>VLOOKUP(57,Rečnik[],LEFT(General!$B$1,1)+1,FALSE)</f>
        <v>Vreme</v>
      </c>
      <c r="D27" s="39"/>
      <c r="E27" s="39"/>
      <c r="F27" s="41"/>
    </row>
    <row r="28" spans="2:11" ht="16" customHeight="1" x14ac:dyDescent="0.35">
      <c r="B28" s="24" t="s">
        <v>129</v>
      </c>
      <c r="C28" s="25" t="str">
        <f>VLOOKUP(58,Rečnik[],LEFT(General!$B$1,1)+1,FALSE)</f>
        <v>Organizovanje i informisanje</v>
      </c>
      <c r="D28" s="39"/>
      <c r="E28" s="39"/>
      <c r="F28" s="41"/>
    </row>
    <row r="29" spans="2:11" ht="16" customHeight="1" x14ac:dyDescent="0.35">
      <c r="B29" s="24" t="s">
        <v>130</v>
      </c>
      <c r="C29" s="25" t="str">
        <f>VLOOKUP(59,Rečnik[],LEFT(General!$B$1,1)+1,FALSE)</f>
        <v>Kvalitet</v>
      </c>
      <c r="D29" s="39"/>
      <c r="E29" s="39"/>
      <c r="F29" s="41"/>
    </row>
    <row r="30" spans="2:11" ht="16" customHeight="1" x14ac:dyDescent="0.35">
      <c r="B30" s="24" t="s">
        <v>131</v>
      </c>
      <c r="C30" s="25" t="str">
        <f>VLOOKUP(60,Rečnik[],LEFT(General!$B$1,1)+1,FALSE)</f>
        <v>Finansiranje</v>
      </c>
      <c r="D30" s="39"/>
      <c r="E30" s="39"/>
      <c r="F30" s="41"/>
    </row>
    <row r="31" spans="2:11" ht="16" customHeight="1" x14ac:dyDescent="0.35">
      <c r="B31" s="24" t="s">
        <v>132</v>
      </c>
      <c r="C31" s="25" t="str">
        <f>VLOOKUP(61,Rečnik[],LEFT(General!$B$1,1)+1,FALSE)</f>
        <v>Resursi</v>
      </c>
      <c r="D31" s="39"/>
      <c r="E31" s="39"/>
      <c r="F31" s="41"/>
    </row>
    <row r="32" spans="2:11" ht="16" customHeight="1" x14ac:dyDescent="0.35">
      <c r="B32" s="24" t="s">
        <v>133</v>
      </c>
      <c r="C32" s="25" t="str">
        <f>VLOOKUP(62,Rečnik[],LEFT(General!$B$1,1)+1,FALSE)</f>
        <v>Nabavka</v>
      </c>
      <c r="D32" s="39"/>
      <c r="E32" s="39"/>
      <c r="F32" s="41"/>
    </row>
    <row r="33" spans="2:6" ht="16" customHeight="1" x14ac:dyDescent="0.35">
      <c r="B33" s="24" t="s">
        <v>134</v>
      </c>
      <c r="C33" s="25" t="str">
        <f>VLOOKUP(63,Rečnik[],LEFT(General!$B$1,1)+1,FALSE)</f>
        <v>Planiranje i kontrola</v>
      </c>
      <c r="D33" s="39"/>
      <c r="E33" s="39"/>
      <c r="F33" s="41"/>
    </row>
    <row r="34" spans="2:6" ht="16" customHeight="1" x14ac:dyDescent="0.35">
      <c r="B34" s="24" t="s">
        <v>135</v>
      </c>
      <c r="C34" s="25" t="str">
        <f>VLOOKUP(64,Rečnik[],LEFT(General!$B$1,1)+1,FALSE)</f>
        <v>Rizik i šansa</v>
      </c>
      <c r="D34" s="39"/>
      <c r="E34" s="39"/>
      <c r="F34" s="41"/>
    </row>
    <row r="35" spans="2:6" ht="16" customHeight="1" x14ac:dyDescent="0.35">
      <c r="B35" s="24" t="s">
        <v>136</v>
      </c>
      <c r="C35" s="25" t="str">
        <f>VLOOKUP(65,Rečnik[],LEFT(General!$B$1,1)+1,FALSE)</f>
        <v>Zainteresoavne strane</v>
      </c>
      <c r="D35" s="39"/>
      <c r="E35" s="39"/>
      <c r="F35" s="41"/>
    </row>
    <row r="36" spans="2:6" ht="16" customHeight="1" x14ac:dyDescent="0.35">
      <c r="B36" s="24" t="s">
        <v>137</v>
      </c>
      <c r="C36" s="25" t="str">
        <f>VLOOKUP(66,Rečnik[],LEFT(General!$B$1,1)+1,FALSE)</f>
        <v>Promena i transformacija</v>
      </c>
      <c r="D36" s="39"/>
      <c r="E36" s="39"/>
      <c r="F36" s="41"/>
    </row>
    <row r="37" spans="2:6" ht="16" customHeight="1" x14ac:dyDescent="0.35">
      <c r="B37" s="24" t="s">
        <v>138</v>
      </c>
      <c r="C37" s="25" t="str">
        <f>VLOOKUP(67,Rečnik[],LEFT(General!$B$1,1)+1,FALSE)</f>
        <v>Izbor i ravnoteža</v>
      </c>
      <c r="D37" s="39"/>
      <c r="E37" s="39"/>
      <c r="F37" s="41"/>
    </row>
    <row r="38" spans="2:6" s="35" customFormat="1" ht="10" customHeight="1" x14ac:dyDescent="0.35"/>
    <row r="39" spans="2:6" s="35" customFormat="1" ht="16" customHeight="1" x14ac:dyDescent="0.35">
      <c r="C39" s="37" t="str">
        <f>VLOOKUP(68,Rečnik[],LEFT(General!$B$1,1)+1,FALSE)</f>
        <v>Samoocena je informativnog karaktera.</v>
      </c>
      <c r="D39" s="38" t="str">
        <f>_xlfn.IFNA(_xlfn.XLOOKUP(General!B20,Prevodi[Nivo],Prevodi[Samoocena],,0),"")</f>
        <v/>
      </c>
    </row>
  </sheetData>
  <sheetProtection algorithmName="SHA-512" hashValue="YDCYfdRHxMzmv/cH2QeVCQQNBgRsFPMFpCWat/ii86a3cqIYeiInIarOE21goq4BkvcNlGZHU9o2BkMac+mryQ==" saltValue="ChnjmjwWmWTV3ydOb34I1w==" spinCount="100000" sheet="1" objects="1" scenarios="1"/>
  <mergeCells count="1">
    <mergeCell ref="B2:C2"/>
  </mergeCells>
  <conditionalFormatting sqref="D5:E37">
    <cfRule type="cellIs" dxfId="5" priority="3" operator="equal">
      <formula>1</formula>
    </cfRule>
    <cfRule type="cellIs" dxfId="4" priority="4" operator="equal">
      <formula>2</formula>
    </cfRule>
    <cfRule type="cellIs" dxfId="3" priority="8" operator="equal">
      <formula>3</formula>
    </cfRule>
  </conditionalFormatting>
  <dataValidations count="2">
    <dataValidation type="whole" allowBlank="1" showDropDown="1" showInputMessage="1" showErrorMessage="1" sqref="D5:E9 D12:E21 D24:E37" xr:uid="{DD9FD44C-432D-4D37-8B2D-1F7913522F87}">
      <formula1>1</formula1>
      <formula2>3</formula2>
    </dataValidation>
    <dataValidation allowBlank="1" showDropDown="1" showInputMessage="1" showErrorMessage="1" sqref="D22:E23" xr:uid="{73E711D6-E6A0-4E8D-95BA-AE34AA239238}"/>
  </dataValidations>
  <pageMargins left="0.75000000000000011" right="0.75000000000000011" top="0.5" bottom="0.5" header="0.5" footer="0.5"/>
  <pageSetup paperSize="9" orientation="landscape" horizontalDpi="4294967292" verticalDpi="4294967292" r:id="rId1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2" max="16383" man="1"/>
  </rowBreaks>
  <ignoredErrors>
    <ignoredError sqref="B1:C1 B40:C46 B39 B3:C3 C2 B10:C10 B4 B5 B6 B7 B8 B9 B22:C22 B11 B12 B13 B14 B15 B16 B17 B18 B19 B20 B21 B38:C38 B23 B24 B25 B26 B27 B28 B29 B30 B31:B37 B48:C1048576 B47" twoDigitTextYear="1"/>
    <ignoredError sqref="I13:K2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B84C-61EB-4B24-B7A9-CF4AA44BFA4C}">
  <dimension ref="A1:Q12"/>
  <sheetViews>
    <sheetView showGridLines="0" workbookViewId="0"/>
  </sheetViews>
  <sheetFormatPr defaultRowHeight="14.5" x14ac:dyDescent="0.35"/>
  <cols>
    <col min="1" max="1" width="6.08984375" style="14" customWidth="1"/>
    <col min="2" max="2" width="12.6328125" style="14" customWidth="1"/>
    <col min="3" max="3" width="26.6328125" style="14" customWidth="1"/>
    <col min="4" max="4" width="75.6328125" style="14" customWidth="1"/>
    <col min="5" max="5" width="28.453125" style="14" customWidth="1"/>
    <col min="6" max="10" width="15.81640625" style="14" customWidth="1"/>
    <col min="11" max="11" width="30.1796875" style="14" customWidth="1"/>
    <col min="12" max="12" width="12.26953125" style="14" bestFit="1" customWidth="1"/>
    <col min="13" max="13" width="11.1796875" style="14" bestFit="1" customWidth="1"/>
    <col min="14" max="14" width="19.08984375" style="14" customWidth="1"/>
    <col min="15" max="15" width="14.08984375" style="14" customWidth="1"/>
    <col min="16" max="16" width="13.7265625" style="14" customWidth="1"/>
    <col min="17" max="17" width="11.7265625" style="14" customWidth="1"/>
    <col min="18" max="16384" width="8.7265625" style="14"/>
  </cols>
  <sheetData>
    <row r="1" spans="1:17" ht="20" thickBot="1" x14ac:dyDescent="0.4">
      <c r="A1" s="4" t="str">
        <f>VLOOKUP(72,Rečnik[],LEFT(General!$B$1,1)+1,FALSE)</f>
        <v>Pregled projekata/programa/portfolia</v>
      </c>
      <c r="F1" s="43" t="str">
        <f>_xlfn.IFNA(_xlfn.XLOOKUP(General!B20,Prevodi[Nivo],Prevodi[Ostalo],,0),"")</f>
        <v/>
      </c>
    </row>
    <row r="2" spans="1:17" ht="73" thickTop="1" x14ac:dyDescent="0.35">
      <c r="A2" s="10" t="s">
        <v>76</v>
      </c>
      <c r="B2" s="10" t="str">
        <f>VLOOKUP(73,Rečnik[],LEFT(General!$B$1,1)+1,FALSE)</f>
        <v>Tip</v>
      </c>
      <c r="C2" s="10" t="str">
        <f>VLOOKUP(74,Rečnik[],LEFT(General!$B$1,1)+1,FALSE)</f>
        <v>Naziv</v>
      </c>
      <c r="D2" s="10" t="str">
        <f>VLOOKUP(75,Rečnik[],LEFT(General!$B$1,1)+1,FALSE)</f>
        <v>Sažet opis (do 100 reči)</v>
      </c>
      <c r="E2" s="10" t="str">
        <f>VLOOKUP(76,Rečnik[],LEFT(General!$B$1,1)+1,FALSE)</f>
        <v>Klijent</v>
      </c>
      <c r="F2" s="10" t="str">
        <f>VLOOKUP(77,Rečnik[],LEFT(General!$B$1,1)+1,FALSE)</f>
        <v>Radno angažovanje kao tim lider (% trajanja)</v>
      </c>
      <c r="G2" s="10" t="str">
        <f>VLOOKUP(78,Rečnik[],LEFT(General!$B$1,1)+1,FALSE)</f>
        <v>Radno angažovanje kao projektni menadžer (% trajanja)</v>
      </c>
      <c r="H2" s="10" t="str">
        <f>VLOOKUP(79,Rečnik[],LEFT(General!$B$1,1)+1,FALSE)</f>
        <v>Radno angažovanje kao program menadžer (% trajanja)</v>
      </c>
      <c r="I2" s="10" t="str">
        <f>VLOOKUP(80,Rečnik[],LEFT(General!$B$1,1)+1,FALSE)</f>
        <v>Radno angažovanje kao portfolio menadžer (% trajanja)</v>
      </c>
      <c r="J2" s="10" t="str">
        <f>VLOOKUP(81,Rečnik[],LEFT(General!$B$1,1)+1,FALSE)</f>
        <v>Radno angažovanje kao pozicija koja nije navedena (% trajanja)</v>
      </c>
      <c r="K2" s="10" t="str">
        <f>VLOOKUP(29,Rečnik[],LEFT(General!$B$1,1)+1,FALSE)</f>
        <v>Datum završetka</v>
      </c>
      <c r="L2" s="10" t="str">
        <f>VLOOKUP(82,Rečnik[],LEFT(General!$B$1,1)+1,FALSE)</f>
        <v>Trajanje
(u mesecima)</v>
      </c>
      <c r="M2" s="10" t="str">
        <f>VLOOKUP(83,Rečnik[],LEFT(General!$B$1,1)+1,FALSE)</f>
        <v>Ukupno angažovanje tima (u danima)</v>
      </c>
      <c r="N2" s="10" t="str">
        <f>VLOOKUP(84,Rečnik[],LEFT(General!$B$1,1)+1,FALSE)</f>
        <v>Budžet</v>
      </c>
      <c r="O2" s="10" t="str">
        <f>VLOOKUP(85,Rečnik[],LEFT(General!$B$1,1)+1,FALSE)</f>
        <v>Valuta</v>
      </c>
      <c r="P2" s="10" t="str">
        <f>VLOOKUP(86,Rečnik[],LEFT(General!$B$1,1)+1,FALSE)</f>
        <v>Uključen u izveštaj</v>
      </c>
      <c r="Q2" s="10" t="str">
        <f>VLOOKUP(87,Rečnik[],LEFT(General!$B$1,1)+1,FALSE)</f>
        <v>Referentne osobe</v>
      </c>
    </row>
    <row r="3" spans="1:17" ht="118" customHeight="1" x14ac:dyDescent="0.35">
      <c r="A3" s="10">
        <v>1</v>
      </c>
      <c r="B3" s="44"/>
      <c r="C3" s="9"/>
      <c r="D3" s="6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18" customHeight="1" x14ac:dyDescent="0.35">
      <c r="A4" s="10">
        <v>2</v>
      </c>
      <c r="B4" s="44"/>
      <c r="C4" s="9"/>
      <c r="D4" s="6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118" customHeight="1" x14ac:dyDescent="0.35">
      <c r="A5" s="10">
        <v>3</v>
      </c>
      <c r="B5" s="44"/>
      <c r="C5" s="9"/>
      <c r="D5" s="6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118" customHeight="1" x14ac:dyDescent="0.35">
      <c r="A6" s="10">
        <v>4</v>
      </c>
      <c r="B6" s="44"/>
      <c r="C6" s="9"/>
      <c r="D6" s="6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7" ht="118" customHeight="1" x14ac:dyDescent="0.35">
      <c r="A7" s="10">
        <v>5</v>
      </c>
      <c r="B7" s="44"/>
      <c r="C7" s="9"/>
      <c r="D7" s="6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ht="118" customHeight="1" x14ac:dyDescent="0.35">
      <c r="A8" s="10">
        <v>6</v>
      </c>
      <c r="B8" s="44"/>
      <c r="C8" s="9"/>
      <c r="D8" s="6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18" customHeight="1" x14ac:dyDescent="0.35">
      <c r="A9" s="10">
        <v>7</v>
      </c>
      <c r="B9" s="44"/>
      <c r="C9" s="9"/>
      <c r="D9" s="6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18" customHeight="1" x14ac:dyDescent="0.35">
      <c r="A10" s="10">
        <v>8</v>
      </c>
      <c r="B10" s="44"/>
      <c r="C10" s="9"/>
      <c r="D10" s="6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ht="118" customHeight="1" x14ac:dyDescent="0.35">
      <c r="A11" s="10">
        <v>9</v>
      </c>
      <c r="B11" s="44"/>
      <c r="C11" s="9"/>
      <c r="D11" s="6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1:17" ht="118" customHeight="1" x14ac:dyDescent="0.35">
      <c r="A12" s="10">
        <v>10</v>
      </c>
      <c r="B12" s="44"/>
      <c r="C12" s="9"/>
      <c r="D12" s="6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</sheetData>
  <sheetProtection algorithmName="SHA-512" hashValue="Ic960eGsCUREfJ4rRM6xrQj2qcWJuXQjRWnXr1cjGyAQrc3BfCgiZyvCKEJyBtisIvBpKfBNW1aHRp3I2sNUDA==" saltValue="UGPQJMDQmh+pJEHpil4law==" spinCount="100000" sheet="1" objects="1" scenarios="1"/>
  <dataValidations count="2">
    <dataValidation type="list" allowBlank="1" showInputMessage="1" showErrorMessage="1" sqref="B3:B12" xr:uid="{E27CFB56-0207-43F2-911A-A16AB32D175F}">
      <formula1>ListaTipovaProjekata</formula1>
    </dataValidation>
    <dataValidation type="list" allowBlank="1" showInputMessage="1" showErrorMessage="1" errorTitle="Greška" error="Odgovoriti sa &quot;Da&quot; ili &quot;Ne&quot;" prompt="Odgovoriti sa &quot;Da&quot; ili &quot;Ne&quot;" sqref="P3:P12" xr:uid="{DBDAE47A-36EE-44E7-B5F8-99E160FD8D14}">
      <formula1>ListaDaNe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9C6A-32D2-4A27-AB39-5119B84501F2}">
  <sheetPr>
    <pageSetUpPr fitToPage="1"/>
  </sheetPr>
  <dimension ref="A1:P16"/>
  <sheetViews>
    <sheetView showGridLines="0" zoomScaleNormal="100" workbookViewId="0"/>
  </sheetViews>
  <sheetFormatPr defaultColWidth="10.81640625" defaultRowHeight="12.5" x14ac:dyDescent="0.35"/>
  <cols>
    <col min="1" max="1" width="10.81640625" style="47"/>
    <col min="2" max="2" width="43.26953125" style="47" customWidth="1"/>
    <col min="3" max="12" width="17" style="47" customWidth="1"/>
    <col min="13" max="13" width="56" style="47" customWidth="1"/>
    <col min="14" max="15" width="10.81640625" style="47"/>
    <col min="16" max="16" width="19.81640625" style="47" customWidth="1"/>
    <col min="17" max="16384" width="10.81640625" style="47"/>
  </cols>
  <sheetData>
    <row r="1" spans="1:16" ht="20" thickBot="1" x14ac:dyDescent="0.4">
      <c r="A1" s="45" t="str">
        <f>VLOOKUP(88,Rečnik[],LEFT(General!$B$1,1)+1,FALSE)</f>
        <v>Složenost projekata (1 - Veoma niska, 2 - Niska, 3 - Visoka, 4 - Veoma visoka)</v>
      </c>
      <c r="B1" s="45"/>
      <c r="C1" s="45"/>
      <c r="D1" s="46"/>
      <c r="E1" s="45"/>
      <c r="F1" s="45"/>
      <c r="G1" s="45"/>
      <c r="H1" s="45"/>
      <c r="I1" s="65" t="str">
        <f>_xlfn.IFNA(_xlfn.XLOOKUP(General!B20,Prevodi[Nivo],Prevodi[Ostalo],,0),"")</f>
        <v/>
      </c>
      <c r="J1" s="45"/>
      <c r="K1" s="45"/>
      <c r="L1" s="45"/>
      <c r="M1" s="45"/>
      <c r="N1" s="45"/>
      <c r="O1" s="45"/>
      <c r="P1" s="45"/>
    </row>
    <row r="2" spans="1:16" s="48" customFormat="1" ht="80" customHeight="1" thickTop="1" x14ac:dyDescent="0.35">
      <c r="A2" s="10" t="s">
        <v>76</v>
      </c>
      <c r="B2" s="10" t="str">
        <f>VLOOKUP(89,Rečnik[],LEFT(General!$B$1,1)+1,FALSE)</f>
        <v>Naziv projekta</v>
      </c>
      <c r="C2" s="10" t="str">
        <f>VLOOKUP(90,Rečnik[],LEFT(General!$B$1,1)+1,FALSE)</f>
        <v>Ciljevi i procena rezultata (složenost rezultata)</v>
      </c>
      <c r="D2" s="10" t="str">
        <f>VLOOKUP(91,Rečnik[],LEFT(General!$B$1,1)+1,FALSE)</f>
        <v>Procesi, metode, alati i tehnike (složenost procesa)</v>
      </c>
      <c r="E2" s="10" t="str">
        <f>VLOOKUP(92,Rečnik[],LEFT(General!$B$1,1)+1,FALSE)</f>
        <v>Resursi koji uključuju finansije (složenost koja se odnosi na ulaz)</v>
      </c>
      <c r="F2" s="10" t="str">
        <f>VLOOKUP(93,Rečnik[],LEFT(General!$B$1,1)+1,FALSE)</f>
        <v>Rizik i šanse (složenost povezana sa rizikom)</v>
      </c>
      <c r="G2" s="10" t="str">
        <f>VLOOKUP(94,Rečnik[],LEFT(General!$B$1,1)+1,FALSE)</f>
        <v>Zainteresovane strane i integracija (složenost strategije)</v>
      </c>
      <c r="H2" s="10" t="str">
        <f>VLOOKUP(95,Rečnik[],LEFT(General!$B$1,1)+1,FALSE)</f>
        <v>Odnosi sa stalnim organizacijama (složenost organizacije)</v>
      </c>
      <c r="I2" s="10" t="str">
        <f>VLOOKUP(96,Rečnik[],LEFT(General!$B$1,1)+1,FALSE)</f>
        <v>Kulturni i društveni kontekst (socio-kulturna složenost)</v>
      </c>
      <c r="J2" s="10" t="str">
        <f>VLOOKUP(97,Rečnik[],LEFT(General!$B$1,1)+1,FALSE)</f>
        <v>Liderstvo, timski rad i odluke (složenost koja je povezana sa timom)</v>
      </c>
      <c r="K2" s="10" t="str">
        <f>VLOOKUP(98,Rečnik[],LEFT(General!$B$1,1)+1,FALSE)</f>
        <v>Stepen inovacije i opšti uslovi (složenost koja se odnosi na inovacije)</v>
      </c>
      <c r="L2" s="10" t="str">
        <f>VLOOKUP(99,Rečnik[],LEFT(General!$B$1,1)+1,FALSE)</f>
        <v>Zahtev za koordinacijom (složenost koja je povezana sa autonomijom)</v>
      </c>
      <c r="M2" s="10" t="str">
        <f>VLOOKUP(100,Rečnik[],LEFT(General!$B$1,1)+1,FALSE)</f>
        <v>Napomene, komentari, dokazi (Opciono)</v>
      </c>
      <c r="N2" s="10" t="str">
        <f>VLOOKUP(101,Rečnik[],LEFT(General!$B$1,1)+1,FALSE)</f>
        <v>Prosečna ocena</v>
      </c>
      <c r="O2" s="10" t="str">
        <f>VLOOKUP(102,Rečnik[],LEFT(General!$B$1,1)+1,FALSE)</f>
        <v>Potrebna prosečna ocena za nivo za koji se aplicira</v>
      </c>
      <c r="P2" s="10" t="str">
        <f>VLOOKUP(103,Rečnik[],LEFT(General!$B$1,1)+1,FALSE)</f>
        <v>Zadovoljava kriterijum</v>
      </c>
    </row>
    <row r="3" spans="1:16" s="51" customFormat="1" ht="72" customHeight="1" x14ac:dyDescent="0.35">
      <c r="A3" s="10">
        <v>1</v>
      </c>
      <c r="B3" s="50" t="str">
        <f>IF(_xlfn.XLOOKUP(A3,PPP!$A$3:$A$12,PPP!$C$3:$C$12,,0)=0,"",_xlfn.XLOOKUP(A3,PPP!$A$3:$A$12,PPP!$C$3:$C$12,,0))</f>
        <v/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49" t="str">
        <f>IF(B3="","",SUM(C3:L3))</f>
        <v/>
      </c>
      <c r="O3" s="49" t="str">
        <f>IFERROR(IF(B3="","",_xlfn.XLOOKUP(General!$B$20,Nivoi[Nivo],Nivoi[Složenost],,0)),"")</f>
        <v/>
      </c>
      <c r="P3" s="50" t="str">
        <f>IF(B3="","",IF(General!$B$20="",VLOOKUP(104,Rečnik[],LEFT(General!$B$1,1)+1,FALSE),IF(COUNTBLANK('Project Complexity'!C3:L3)&gt;=1,VLOOKUP(105,Rečnik[],LEFT(General!$B$1,1)+1,FALSE),IF(O3&gt;N3,VLOOKUP(106,Rečnik[],LEFT(General!$B$1,1)+1,FALSE),VLOOKUP(107,Rečnik[],LEFT(General!$B$1,1)+1,FALSE)))))</f>
        <v/>
      </c>
    </row>
    <row r="4" spans="1:16" s="51" customFormat="1" ht="72" customHeight="1" x14ac:dyDescent="0.35">
      <c r="A4" s="10">
        <v>2</v>
      </c>
      <c r="B4" s="50" t="str">
        <f>IF(_xlfn.XLOOKUP(A4,PPP!$A$3:$A$12,PPP!$C$3:$C$12,,0)=0,"",_xlfn.XLOOKUP(A4,PPP!$A$3:$A$12,PPP!$C$3:$C$12,,0))</f>
        <v/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49" t="str">
        <f t="shared" ref="N4:N12" si="0">IF(B4="","",SUM(C4:L4))</f>
        <v/>
      </c>
      <c r="O4" s="49" t="str">
        <f>IFERROR(IF(B4="","",_xlfn.XLOOKUP(General!$B$20,Nivoi[Nivo],Nivoi[Složenost],,0)),"")</f>
        <v/>
      </c>
      <c r="P4" s="50" t="str">
        <f>IF(B4="","",IF(General!$B$20="",VLOOKUP(104,Rečnik[],LEFT(General!$B$1,1)+1,FALSE),IF(COUNTBLANK('Project Complexity'!C4:L4)&gt;=1,VLOOKUP(105,Rečnik[],LEFT(General!$B$1,1)+1,FALSE),IF(O4&gt;N4,VLOOKUP(106,Rečnik[],LEFT(General!$B$1,1)+1,FALSE),VLOOKUP(107,Rečnik[],LEFT(General!$B$1,1)+1,FALSE)))))</f>
        <v/>
      </c>
    </row>
    <row r="5" spans="1:16" s="51" customFormat="1" ht="72" customHeight="1" x14ac:dyDescent="0.35">
      <c r="A5" s="10">
        <v>3</v>
      </c>
      <c r="B5" s="50" t="str">
        <f>IF(_xlfn.XLOOKUP(A5,PPP!$A$3:$A$12,PPP!$C$3:$C$12,,0)=0,"",_xlfn.XLOOKUP(A5,PPP!$A$3:$A$12,PPP!$C$3:$C$12,,0))</f>
        <v/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49" t="str">
        <f t="shared" si="0"/>
        <v/>
      </c>
      <c r="O5" s="49" t="str">
        <f>IFERROR(IF(B5="","",_xlfn.XLOOKUP(General!$B$20,Nivoi[Nivo],Nivoi[Složenost],,0)),"")</f>
        <v/>
      </c>
      <c r="P5" s="50" t="str">
        <f>IF(B5="","",IF(General!$B$20="",VLOOKUP(104,Rečnik[],LEFT(General!$B$1,1)+1,FALSE),IF(COUNTBLANK('Project Complexity'!C5:L5)&gt;=1,VLOOKUP(105,Rečnik[],LEFT(General!$B$1,1)+1,FALSE),IF(O5&gt;N5,VLOOKUP(106,Rečnik[],LEFT(General!$B$1,1)+1,FALSE),VLOOKUP(107,Rečnik[],LEFT(General!$B$1,1)+1,FALSE)))))</f>
        <v/>
      </c>
    </row>
    <row r="6" spans="1:16" s="51" customFormat="1" ht="72" customHeight="1" x14ac:dyDescent="0.35">
      <c r="A6" s="10">
        <v>4</v>
      </c>
      <c r="B6" s="50" t="str">
        <f>IF(_xlfn.XLOOKUP(A6,PPP!$A$3:$A$12,PPP!$C$3:$C$12,,0)=0,"",_xlfn.XLOOKUP(A6,PPP!$A$3:$A$12,PPP!$C$3:$C$12,,0))</f>
        <v/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49" t="str">
        <f t="shared" si="0"/>
        <v/>
      </c>
      <c r="O6" s="49" t="str">
        <f>IFERROR(IF(B6="","",_xlfn.XLOOKUP(General!$B$20,Nivoi[Nivo],Nivoi[Složenost],,0)),"")</f>
        <v/>
      </c>
      <c r="P6" s="50" t="str">
        <f>IF(B6="","",IF(General!$B$20="",VLOOKUP(104,Rečnik[],LEFT(General!$B$1,1)+1,FALSE),IF(COUNTBLANK('Project Complexity'!C6:L6)&gt;=1,VLOOKUP(105,Rečnik[],LEFT(General!$B$1,1)+1,FALSE),IF('Project Complexity'!O6&gt;'Project Complexity'!N6,VLOOKUP(106,Rečnik[],LEFT(General!$B$1,1)+1,FALSE),VLOOKUP(107,Rečnik[],LEFT(General!$B$1,1)+1,FALSE)))))</f>
        <v/>
      </c>
    </row>
    <row r="7" spans="1:16" s="51" customFormat="1" ht="72" customHeight="1" x14ac:dyDescent="0.35">
      <c r="A7" s="10">
        <v>5</v>
      </c>
      <c r="B7" s="50" t="str">
        <f>IF(_xlfn.XLOOKUP(A7,PPP!$A$3:$A$12,PPP!$C$3:$C$12,,0)=0,"",_xlfn.XLOOKUP(A7,PPP!$A$3:$A$12,PPP!$C$3:$C$12,,0))</f>
        <v/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49" t="str">
        <f t="shared" si="0"/>
        <v/>
      </c>
      <c r="O7" s="49" t="str">
        <f>IFERROR(IF(B7="","",_xlfn.XLOOKUP(General!$B$20,Nivoi[Nivo],Nivoi[Složenost],,0)),"")</f>
        <v/>
      </c>
      <c r="P7" s="50" t="str">
        <f>IF(B7="","",IF(General!$B$20="",VLOOKUP(104,Rečnik[],LEFT(General!$B$1,1)+1,FALSE),IF(COUNTBLANK('Project Complexity'!C7:L7)&gt;=1,VLOOKUP(105,Rečnik[],LEFT(General!$B$1,1)+1,FALSE),IF('Project Complexity'!O7&gt;'Project Complexity'!N7,VLOOKUP(106,Rečnik[],LEFT(General!$B$1,1)+1,FALSE),VLOOKUP(107,Rečnik[],LEFT(General!$B$1,1)+1,FALSE)))))</f>
        <v/>
      </c>
    </row>
    <row r="8" spans="1:16" s="51" customFormat="1" ht="72" customHeight="1" x14ac:dyDescent="0.35">
      <c r="A8" s="10">
        <v>6</v>
      </c>
      <c r="B8" s="50" t="str">
        <f>IF(_xlfn.XLOOKUP(A8,PPP!$A$3:$A$12,PPP!$C$3:$C$12,,0)=0,"",_xlfn.XLOOKUP(A8,PPP!$A$3:$A$12,PPP!$C$3:$C$12,,0))</f>
        <v/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49" t="str">
        <f t="shared" si="0"/>
        <v/>
      </c>
      <c r="O8" s="49" t="str">
        <f>IFERROR(IF(B8="","",_xlfn.XLOOKUP(General!$B$20,Nivoi[Nivo],Nivoi[Složenost],,0)),"")</f>
        <v/>
      </c>
      <c r="P8" s="50" t="str">
        <f>IF(B8="","",IF(General!$B$20="",VLOOKUP(104,Rečnik[],LEFT(General!$B$1,1)+1,FALSE),IF(COUNTBLANK('Project Complexity'!C8:L8)&gt;=1,VLOOKUP(105,Rečnik[],LEFT(General!$B$1,1)+1,FALSE),IF('Project Complexity'!O8&gt;'Project Complexity'!N8,VLOOKUP(106,Rečnik[],LEFT(General!$B$1,1)+1,FALSE),VLOOKUP(107,Rečnik[],LEFT(General!$B$1,1)+1,FALSE)))))</f>
        <v/>
      </c>
    </row>
    <row r="9" spans="1:16" s="51" customFormat="1" ht="72" customHeight="1" x14ac:dyDescent="0.35">
      <c r="A9" s="10">
        <v>7</v>
      </c>
      <c r="B9" s="50" t="str">
        <f>IF(_xlfn.XLOOKUP(A9,PPP!$A$3:$A$12,PPP!$C$3:$C$12,,0)=0,"",_xlfn.XLOOKUP(A9,PPP!$A$3:$A$12,PPP!$C$3:$C$12,,0))</f>
        <v/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49" t="str">
        <f t="shared" si="0"/>
        <v/>
      </c>
      <c r="O9" s="49" t="str">
        <f>IFERROR(IF(B9="","",_xlfn.XLOOKUP(General!$B$20,Nivoi[Nivo],Nivoi[Složenost],,0)),"")</f>
        <v/>
      </c>
      <c r="P9" s="50" t="str">
        <f>IF(B9="","",IF(General!$B$20="",VLOOKUP(104,Rečnik[],LEFT(General!$B$1,1)+1,FALSE),IF(COUNTBLANK('Project Complexity'!C9:L9)&gt;=1,VLOOKUP(105,Rečnik[],LEFT(General!$B$1,1)+1,FALSE),IF('Project Complexity'!O9&gt;'Project Complexity'!N9,VLOOKUP(106,Rečnik[],LEFT(General!$B$1,1)+1,FALSE),VLOOKUP(107,Rečnik[],LEFT(General!$B$1,1)+1,FALSE)))))</f>
        <v/>
      </c>
    </row>
    <row r="10" spans="1:16" s="51" customFormat="1" ht="72" customHeight="1" x14ac:dyDescent="0.35">
      <c r="A10" s="10">
        <v>8</v>
      </c>
      <c r="B10" s="50" t="str">
        <f>IF(_xlfn.XLOOKUP(A10,PPP!$A$3:$A$12,PPP!$C$3:$C$12,,0)=0,"",_xlfn.XLOOKUP(A10,PPP!$A$3:$A$12,PPP!$C$3:$C$12,,0))</f>
        <v/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49" t="str">
        <f t="shared" si="0"/>
        <v/>
      </c>
      <c r="O10" s="49" t="str">
        <f>IFERROR(IF(B10="","",_xlfn.XLOOKUP(General!$B$20,Nivoi[Nivo],Nivoi[Složenost],,0)),"")</f>
        <v/>
      </c>
      <c r="P10" s="50" t="str">
        <f>IF(B10="","",IF(General!$B$20="",VLOOKUP(104,Rečnik[],LEFT(General!$B$1,1)+1,FALSE),IF(COUNTBLANK('Project Complexity'!C10:L10)&gt;=1,VLOOKUP(105,Rečnik[],LEFT(General!$B$1,1)+1,FALSE),IF('Project Complexity'!O10&gt;'Project Complexity'!N10,VLOOKUP(106,Rečnik[],LEFT(General!$B$1,1)+1,FALSE),VLOOKUP(107,Rečnik[],LEFT(General!$B$1,1)+1,FALSE)))))</f>
        <v/>
      </c>
    </row>
    <row r="11" spans="1:16" s="51" customFormat="1" ht="72" customHeight="1" x14ac:dyDescent="0.35">
      <c r="A11" s="10">
        <v>9</v>
      </c>
      <c r="B11" s="50" t="str">
        <f>IF(_xlfn.XLOOKUP(A11,PPP!$A$3:$A$12,PPP!$C$3:$C$12,,0)=0,"",_xlfn.XLOOKUP(A11,PPP!$A$3:$A$12,PPP!$C$3:$C$12,,0))</f>
        <v/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49" t="str">
        <f t="shared" si="0"/>
        <v/>
      </c>
      <c r="O11" s="49" t="str">
        <f>IFERROR(IF(B11="","",_xlfn.XLOOKUP(General!$B$20,Nivoi[Nivo],Nivoi[Složenost],,0)),"")</f>
        <v/>
      </c>
      <c r="P11" s="50" t="str">
        <f>IF(B11="","",IF(General!$B$20="",VLOOKUP(104,Rečnik[],LEFT(General!$B$1,1)+1,FALSE),IF(COUNTBLANK('Project Complexity'!C11:L11)&gt;=1,VLOOKUP(105,Rečnik[],LEFT(General!$B$1,1)+1,FALSE),IF('Project Complexity'!O11&gt;'Project Complexity'!N11,VLOOKUP(106,Rečnik[],LEFT(General!$B$1,1)+1,FALSE),VLOOKUP(107,Rečnik[],LEFT(General!$B$1,1)+1,FALSE)))))</f>
        <v/>
      </c>
    </row>
    <row r="12" spans="1:16" s="51" customFormat="1" ht="72" customHeight="1" x14ac:dyDescent="0.35">
      <c r="A12" s="10">
        <v>10</v>
      </c>
      <c r="B12" s="50" t="str">
        <f>IF(_xlfn.XLOOKUP(A12,PPP!$A$3:$A$12,PPP!$C$3:$C$12,,0)=0,"",_xlfn.XLOOKUP(A12,PPP!$A$3:$A$12,PPP!$C$3:$C$12,,0))</f>
        <v/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49" t="str">
        <f t="shared" si="0"/>
        <v/>
      </c>
      <c r="O12" s="49" t="str">
        <f>IFERROR(IF(B12="","",_xlfn.XLOOKUP(General!$B$20,Nivoi[Nivo],Nivoi[Složenost],,0)),"")</f>
        <v/>
      </c>
      <c r="P12" s="50" t="str">
        <f>IF(B12="","",IF(General!$B$20="",VLOOKUP(104,Rečnik[],LEFT(General!$B$1,1)+1,FALSE),IF(COUNTBLANK('Project Complexity'!C12:L12)&gt;=1,VLOOKUP(105,Rečnik[],LEFT(General!$B$1,1)+1,FALSE),IF('Project Complexity'!O12&gt;'Project Complexity'!N12,VLOOKUP(106,Rečnik[],LEFT(General!$B$1,1)+1,FALSE),VLOOKUP(107,Rečnik[],LEFT(General!$B$1,1)+1,FALSE)))))</f>
        <v/>
      </c>
    </row>
    <row r="13" spans="1:16" s="51" customFormat="1" ht="17.149999999999999" customHeight="1" x14ac:dyDescent="0.35"/>
    <row r="14" spans="1:16" s="51" customFormat="1" ht="17.149999999999999" customHeight="1" x14ac:dyDescent="0.35"/>
    <row r="15" spans="1:16" s="51" customFormat="1" ht="17.149999999999999" customHeight="1" x14ac:dyDescent="0.35"/>
    <row r="16" spans="1:16" s="51" customFormat="1" ht="17.149999999999999" customHeight="1" x14ac:dyDescent="0.35"/>
  </sheetData>
  <sheetProtection algorithmName="SHA-512" hashValue="z1gJbsxd/V/Z6880w4+k/VHlz/DRlLWtz+nIJOniXP9vHhtlKf+W/rOirQ/NGTfAd+pZUhZUJBUqLFOzOxrV6g==" saltValue="sM6G7jLdEzZe0LBkmgT8Dw==" spinCount="100000" sheet="1" objects="1" scenarios="1"/>
  <conditionalFormatting sqref="P3:P12">
    <cfRule type="beginsWith" dxfId="2" priority="1" operator="beginsWith" text="Ne">
      <formula>LEFT(P3,LEN("Ne"))="Ne"</formula>
    </cfRule>
    <cfRule type="beginsWith" dxfId="1" priority="2" operator="beginsWith" text="Nisu">
      <formula>LEFT(P3,LEN("Nisu"))="Nisu"</formula>
    </cfRule>
    <cfRule type="beginsWith" dxfId="0" priority="3" operator="beginsWith" text="Nije">
      <formula>LEFT(P3,LEN("Nije"))="Nije"</formula>
    </cfRule>
  </conditionalFormatting>
  <dataValidations count="1">
    <dataValidation type="whole" allowBlank="1" showInputMessage="1" showErrorMessage="1" errorTitle="Pogrešna vrednost" error="Vrednost mora biti ceo broj od 1 do 4" prompt="1 - Veoma niska_x000a_2 - Niska_x000a_3 - Visoka_x000a_4 - Veoma visoka" sqref="C3:L12" xr:uid="{C37F889E-2855-4900-BC72-3D502BC083CF}">
      <formula1>1</formula1>
      <formula2>4</formula2>
    </dataValidation>
  </dataValidations>
  <pageMargins left="0.11811023622047245" right="0.11811023622047245" top="0.15748031496062992" bottom="0.15748031496062992" header="0.31496062992125984" footer="0.31496062992125984"/>
  <pageSetup paperSize="9" scale="45" fitToHeight="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1AA9-C6F4-4C66-82AB-D3B2CDE90D57}">
  <dimension ref="A1:G91"/>
  <sheetViews>
    <sheetView showGridLines="0" zoomScaleNormal="100" workbookViewId="0"/>
  </sheetViews>
  <sheetFormatPr defaultRowHeight="14.5" x14ac:dyDescent="0.35"/>
  <cols>
    <col min="1" max="1" width="5.453125" style="14" customWidth="1"/>
    <col min="2" max="2" width="32.26953125" style="14" customWidth="1"/>
    <col min="3" max="3" width="22.36328125" style="14" customWidth="1"/>
    <col min="4" max="4" width="22" style="14" customWidth="1"/>
    <col min="5" max="5" width="18.6328125" style="14" customWidth="1"/>
    <col min="6" max="6" width="14.81640625" style="14" customWidth="1"/>
    <col min="7" max="7" width="18" style="14" customWidth="1"/>
    <col min="8" max="16384" width="8.7265625" style="14"/>
  </cols>
  <sheetData>
    <row r="1" spans="1:7" ht="20" thickBot="1" x14ac:dyDescent="0.4">
      <c r="A1" s="4" t="str">
        <f>VLOOKUP(108,Rečnik[],LEFT(General!$B$1,1)+1,FALSE)</f>
        <v>Konsultacije koje je sproveo aplikant</v>
      </c>
      <c r="B1" s="4"/>
      <c r="C1" s="4"/>
      <c r="D1" s="53" t="str">
        <f>_xlfn.IFNA(_xlfn.XLOOKUP(General!B20,Prevodi[Nivo],Prevodi[Ostalo],,0),"")</f>
        <v/>
      </c>
      <c r="E1" s="4"/>
      <c r="F1" s="4"/>
      <c r="G1" s="4"/>
    </row>
    <row r="2" spans="1:7" ht="29.5" thickTop="1" x14ac:dyDescent="0.35">
      <c r="A2" s="10" t="s">
        <v>76</v>
      </c>
      <c r="B2" s="10" t="str">
        <f>VLOOKUP(109,Rečnik[],LEFT(General!$B$1,1)+1,FALSE)</f>
        <v>Klijent/Kompanija</v>
      </c>
      <c r="C2" s="10" t="str">
        <f>VLOOKUP(110,Rečnik[],LEFT(General!$B$1,1)+1,FALSE)</f>
        <v>Opis konsultantske usluge</v>
      </c>
      <c r="D2" s="10" t="str">
        <f>VLOOKUP(111,Rečnik[],LEFT(General!$B$1,1)+1,FALSE)</f>
        <v>Početak</v>
      </c>
      <c r="E2" s="10" t="str">
        <f>VLOOKUP(112,Rečnik[],LEFT(General!$B$1,1)+1,FALSE)</f>
        <v>Završetak</v>
      </c>
      <c r="F2" s="10" t="str">
        <f>VLOOKUP(113,Rečnik[],LEFT(General!$B$1,1)+1,FALSE)</f>
        <v>Broj članova tima</v>
      </c>
      <c r="G2" s="10" t="str">
        <f>VLOOKUP(114,Rečnik[],LEFT(General!$B$1,1)+1,FALSE)</f>
        <v>Broj sati konsultacija</v>
      </c>
    </row>
    <row r="3" spans="1:7" x14ac:dyDescent="0.35">
      <c r="A3" s="10">
        <v>1</v>
      </c>
      <c r="B3" s="44"/>
      <c r="C3" s="44"/>
      <c r="D3" s="44"/>
      <c r="E3" s="44"/>
      <c r="F3" s="44"/>
      <c r="G3" s="44"/>
    </row>
    <row r="4" spans="1:7" x14ac:dyDescent="0.35">
      <c r="A4" s="10">
        <v>2</v>
      </c>
      <c r="B4" s="44"/>
      <c r="C4" s="44"/>
      <c r="D4" s="44"/>
      <c r="E4" s="44"/>
      <c r="F4" s="44"/>
      <c r="G4" s="44"/>
    </row>
    <row r="5" spans="1:7" x14ac:dyDescent="0.35">
      <c r="A5" s="10">
        <v>3</v>
      </c>
      <c r="B5" s="44"/>
      <c r="C5" s="44"/>
      <c r="D5" s="44"/>
      <c r="E5" s="44"/>
      <c r="F5" s="44"/>
      <c r="G5" s="44"/>
    </row>
    <row r="6" spans="1:7" x14ac:dyDescent="0.35">
      <c r="A6" s="10">
        <v>4</v>
      </c>
      <c r="B6" s="44"/>
      <c r="C6" s="44"/>
      <c r="D6" s="44"/>
      <c r="E6" s="44"/>
      <c r="F6" s="44"/>
      <c r="G6" s="44"/>
    </row>
    <row r="7" spans="1:7" x14ac:dyDescent="0.35">
      <c r="A7" s="10">
        <v>5</v>
      </c>
      <c r="B7" s="44"/>
      <c r="C7" s="44"/>
      <c r="D7" s="44"/>
      <c r="E7" s="44"/>
      <c r="F7" s="44"/>
      <c r="G7" s="44"/>
    </row>
    <row r="8" spans="1:7" x14ac:dyDescent="0.35">
      <c r="A8" s="10">
        <v>6</v>
      </c>
      <c r="B8" s="44"/>
      <c r="C8" s="44"/>
      <c r="D8" s="44"/>
      <c r="E8" s="44"/>
      <c r="F8" s="44"/>
      <c r="G8" s="44"/>
    </row>
    <row r="9" spans="1:7" x14ac:dyDescent="0.35">
      <c r="A9" s="10">
        <v>7</v>
      </c>
      <c r="B9" s="44"/>
      <c r="C9" s="44"/>
      <c r="D9" s="44"/>
      <c r="E9" s="44"/>
      <c r="F9" s="44"/>
      <c r="G9" s="44"/>
    </row>
    <row r="10" spans="1:7" x14ac:dyDescent="0.35">
      <c r="A10" s="10">
        <v>8</v>
      </c>
      <c r="B10" s="44"/>
      <c r="C10" s="44"/>
      <c r="D10" s="44"/>
      <c r="E10" s="44"/>
      <c r="F10" s="44"/>
      <c r="G10" s="44"/>
    </row>
    <row r="11" spans="1:7" x14ac:dyDescent="0.35">
      <c r="A11" s="10">
        <v>9</v>
      </c>
      <c r="B11" s="44"/>
      <c r="C11" s="44"/>
      <c r="D11" s="44"/>
      <c r="E11" s="44"/>
      <c r="F11" s="44"/>
      <c r="G11" s="44"/>
    </row>
    <row r="12" spans="1:7" x14ac:dyDescent="0.35">
      <c r="A12" s="10">
        <v>10</v>
      </c>
      <c r="B12" s="44"/>
      <c r="C12" s="44"/>
      <c r="D12" s="44"/>
      <c r="E12" s="44"/>
      <c r="F12" s="44"/>
      <c r="G12" s="44"/>
    </row>
    <row r="13" spans="1:7" x14ac:dyDescent="0.35">
      <c r="A13" s="10">
        <v>11</v>
      </c>
      <c r="B13" s="44"/>
      <c r="C13" s="44"/>
      <c r="D13" s="44"/>
      <c r="E13" s="44"/>
      <c r="F13" s="44"/>
      <c r="G13" s="44"/>
    </row>
    <row r="14" spans="1:7" x14ac:dyDescent="0.35">
      <c r="A14" s="10">
        <v>12</v>
      </c>
      <c r="B14" s="44"/>
      <c r="C14" s="44"/>
      <c r="D14" s="44"/>
      <c r="E14" s="44"/>
      <c r="F14" s="44"/>
      <c r="G14" s="44"/>
    </row>
    <row r="15" spans="1:7" x14ac:dyDescent="0.35">
      <c r="A15" s="10">
        <v>13</v>
      </c>
      <c r="B15" s="44"/>
      <c r="C15" s="44"/>
      <c r="D15" s="44"/>
      <c r="E15" s="44"/>
      <c r="F15" s="44"/>
      <c r="G15" s="44"/>
    </row>
    <row r="16" spans="1:7" x14ac:dyDescent="0.35">
      <c r="A16" s="10">
        <v>14</v>
      </c>
      <c r="B16" s="44"/>
      <c r="C16" s="44"/>
      <c r="D16" s="44"/>
      <c r="E16" s="44"/>
      <c r="F16" s="44"/>
      <c r="G16" s="44"/>
    </row>
    <row r="17" spans="1:7" x14ac:dyDescent="0.35">
      <c r="A17" s="10">
        <v>15</v>
      </c>
      <c r="B17" s="44"/>
      <c r="C17" s="44"/>
      <c r="D17" s="44"/>
      <c r="E17" s="44"/>
      <c r="F17" s="44"/>
      <c r="G17" s="44"/>
    </row>
    <row r="18" spans="1:7" x14ac:dyDescent="0.35">
      <c r="A18" s="10">
        <v>16</v>
      </c>
      <c r="B18" s="44"/>
      <c r="C18" s="44"/>
      <c r="D18" s="44"/>
      <c r="E18" s="44"/>
      <c r="F18" s="44"/>
      <c r="G18" s="44"/>
    </row>
    <row r="19" spans="1:7" x14ac:dyDescent="0.35">
      <c r="A19" s="10">
        <v>17</v>
      </c>
      <c r="B19" s="44"/>
      <c r="C19" s="44"/>
      <c r="D19" s="44"/>
      <c r="E19" s="44"/>
      <c r="F19" s="44"/>
      <c r="G19" s="44"/>
    </row>
    <row r="20" spans="1:7" x14ac:dyDescent="0.35">
      <c r="A20" s="10">
        <v>18</v>
      </c>
      <c r="B20" s="44"/>
      <c r="C20" s="44"/>
      <c r="D20" s="44"/>
      <c r="E20" s="44"/>
      <c r="F20" s="44"/>
      <c r="G20" s="44"/>
    </row>
    <row r="21" spans="1:7" x14ac:dyDescent="0.35">
      <c r="A21" s="10">
        <v>19</v>
      </c>
      <c r="B21" s="44"/>
      <c r="C21" s="44"/>
      <c r="D21" s="44"/>
      <c r="E21" s="44"/>
      <c r="F21" s="44"/>
      <c r="G21" s="44"/>
    </row>
    <row r="22" spans="1:7" x14ac:dyDescent="0.35">
      <c r="A22" s="10">
        <v>20</v>
      </c>
      <c r="B22" s="44"/>
      <c r="C22" s="44"/>
      <c r="D22" s="44"/>
      <c r="E22" s="44"/>
      <c r="F22" s="44"/>
      <c r="G22" s="44"/>
    </row>
    <row r="23" spans="1:7" s="54" customFormat="1" x14ac:dyDescent="0.35"/>
    <row r="24" spans="1:7" ht="19.5" x14ac:dyDescent="0.35">
      <c r="A24" s="6" t="str">
        <f>VLOOKUP(115,Rečnik[],LEFT(General!$B$1,1)+1,FALSE)</f>
        <v>Treninzi koje je sproveo aplikant</v>
      </c>
      <c r="B24" s="6"/>
      <c r="C24" s="6"/>
      <c r="D24" s="6"/>
      <c r="E24" s="6"/>
      <c r="F24" s="6"/>
      <c r="G24" s="6"/>
    </row>
    <row r="25" spans="1:7" ht="29" x14ac:dyDescent="0.35">
      <c r="A25" s="10" t="s">
        <v>76</v>
      </c>
      <c r="B25" s="10" t="str">
        <f>VLOOKUP(109,Rečnik[],LEFT(General!$B$1,1)+1,FALSE)</f>
        <v>Klijent/Kompanija</v>
      </c>
      <c r="C25" s="10" t="str">
        <f>VLOOKUP(116,Rečnik[],LEFT(General!$B$1,1)+1,FALSE)</f>
        <v>Naziv treninga</v>
      </c>
      <c r="D25" s="10" t="str">
        <f>VLOOKUP(111,Rečnik[],LEFT(General!$B$1,1)+1,FALSE)</f>
        <v>Početak</v>
      </c>
      <c r="E25" s="10" t="str">
        <f>VLOOKUP(112,Rečnik[],LEFT(General!$B$1,1)+1,FALSE)</f>
        <v>Završetak</v>
      </c>
      <c r="F25" s="10" t="str">
        <f>VLOOKUP(113,Rečnik[],LEFT(General!$B$1,1)+1,FALSE)</f>
        <v>Broj članova tima</v>
      </c>
      <c r="G25" s="10" t="str">
        <f>VLOOKUP(116,Rečnik[],LEFT(General!$B$1,1)+1,FALSE)</f>
        <v>Naziv treninga</v>
      </c>
    </row>
    <row r="26" spans="1:7" x14ac:dyDescent="0.35">
      <c r="A26" s="10">
        <v>1</v>
      </c>
      <c r="B26" s="44"/>
      <c r="C26" s="44"/>
      <c r="D26" s="44"/>
      <c r="E26" s="44"/>
      <c r="F26" s="44"/>
      <c r="G26" s="44"/>
    </row>
    <row r="27" spans="1:7" x14ac:dyDescent="0.35">
      <c r="A27" s="10">
        <v>2</v>
      </c>
      <c r="B27" s="44"/>
      <c r="C27" s="44"/>
      <c r="D27" s="44"/>
      <c r="E27" s="44"/>
      <c r="F27" s="44"/>
      <c r="G27" s="44"/>
    </row>
    <row r="28" spans="1:7" x14ac:dyDescent="0.35">
      <c r="A28" s="10">
        <v>3</v>
      </c>
      <c r="B28" s="44"/>
      <c r="C28" s="44"/>
      <c r="D28" s="44"/>
      <c r="E28" s="44"/>
      <c r="F28" s="44"/>
      <c r="G28" s="44"/>
    </row>
    <row r="29" spans="1:7" x14ac:dyDescent="0.35">
      <c r="A29" s="10">
        <v>4</v>
      </c>
      <c r="B29" s="44"/>
      <c r="C29" s="44"/>
      <c r="D29" s="44"/>
      <c r="E29" s="44"/>
      <c r="F29" s="44"/>
      <c r="G29" s="44"/>
    </row>
    <row r="30" spans="1:7" x14ac:dyDescent="0.35">
      <c r="A30" s="10">
        <v>5</v>
      </c>
      <c r="B30" s="44"/>
      <c r="C30" s="44"/>
      <c r="D30" s="44"/>
      <c r="E30" s="44"/>
      <c r="F30" s="44"/>
      <c r="G30" s="44"/>
    </row>
    <row r="31" spans="1:7" x14ac:dyDescent="0.35">
      <c r="A31" s="10">
        <v>6</v>
      </c>
      <c r="B31" s="44"/>
      <c r="C31" s="44"/>
      <c r="D31" s="44"/>
      <c r="E31" s="44"/>
      <c r="F31" s="44"/>
      <c r="G31" s="44"/>
    </row>
    <row r="32" spans="1:7" x14ac:dyDescent="0.35">
      <c r="A32" s="10">
        <v>7</v>
      </c>
      <c r="B32" s="44"/>
      <c r="C32" s="44"/>
      <c r="D32" s="44"/>
      <c r="E32" s="44"/>
      <c r="F32" s="44"/>
      <c r="G32" s="44"/>
    </row>
    <row r="33" spans="1:7" x14ac:dyDescent="0.35">
      <c r="A33" s="10">
        <v>8</v>
      </c>
      <c r="B33" s="44"/>
      <c r="C33" s="44"/>
      <c r="D33" s="44"/>
      <c r="E33" s="44"/>
      <c r="F33" s="44"/>
      <c r="G33" s="44"/>
    </row>
    <row r="34" spans="1:7" x14ac:dyDescent="0.35">
      <c r="A34" s="10">
        <v>9</v>
      </c>
      <c r="B34" s="44"/>
      <c r="C34" s="44"/>
      <c r="D34" s="44"/>
      <c r="E34" s="44"/>
      <c r="F34" s="44"/>
      <c r="G34" s="44"/>
    </row>
    <row r="35" spans="1:7" x14ac:dyDescent="0.35">
      <c r="A35" s="10">
        <v>10</v>
      </c>
      <c r="B35" s="44"/>
      <c r="C35" s="44"/>
      <c r="D35" s="44"/>
      <c r="E35" s="44"/>
      <c r="F35" s="44"/>
      <c r="G35" s="44"/>
    </row>
    <row r="36" spans="1:7" x14ac:dyDescent="0.35">
      <c r="A36" s="10">
        <v>11</v>
      </c>
      <c r="B36" s="44"/>
      <c r="C36" s="44"/>
      <c r="D36" s="44"/>
      <c r="E36" s="44"/>
      <c r="F36" s="44"/>
      <c r="G36" s="44"/>
    </row>
    <row r="37" spans="1:7" x14ac:dyDescent="0.35">
      <c r="A37" s="10">
        <v>12</v>
      </c>
      <c r="B37" s="44"/>
      <c r="C37" s="44"/>
      <c r="D37" s="44"/>
      <c r="E37" s="44"/>
      <c r="F37" s="44"/>
      <c r="G37" s="44"/>
    </row>
    <row r="38" spans="1:7" x14ac:dyDescent="0.35">
      <c r="A38" s="10">
        <v>13</v>
      </c>
      <c r="B38" s="44"/>
      <c r="C38" s="44"/>
      <c r="D38" s="44"/>
      <c r="E38" s="44"/>
      <c r="F38" s="44"/>
      <c r="G38" s="44"/>
    </row>
    <row r="39" spans="1:7" x14ac:dyDescent="0.35">
      <c r="A39" s="10">
        <v>14</v>
      </c>
      <c r="B39" s="44"/>
      <c r="C39" s="44"/>
      <c r="D39" s="44"/>
      <c r="E39" s="44"/>
      <c r="F39" s="44"/>
      <c r="G39" s="44"/>
    </row>
    <row r="40" spans="1:7" x14ac:dyDescent="0.35">
      <c r="A40" s="10">
        <v>15</v>
      </c>
      <c r="B40" s="44"/>
      <c r="C40" s="44"/>
      <c r="D40" s="44"/>
      <c r="E40" s="44"/>
      <c r="F40" s="44"/>
      <c r="G40" s="44"/>
    </row>
    <row r="41" spans="1:7" x14ac:dyDescent="0.35">
      <c r="A41" s="10">
        <v>16</v>
      </c>
      <c r="B41" s="44"/>
      <c r="C41" s="44"/>
      <c r="D41" s="44"/>
      <c r="E41" s="44"/>
      <c r="F41" s="44"/>
      <c r="G41" s="44"/>
    </row>
    <row r="42" spans="1:7" x14ac:dyDescent="0.35">
      <c r="A42" s="10">
        <v>17</v>
      </c>
      <c r="B42" s="44"/>
      <c r="C42" s="44"/>
      <c r="D42" s="44"/>
      <c r="E42" s="44"/>
      <c r="F42" s="44"/>
      <c r="G42" s="44"/>
    </row>
    <row r="43" spans="1:7" x14ac:dyDescent="0.35">
      <c r="A43" s="10">
        <v>18</v>
      </c>
      <c r="B43" s="44"/>
      <c r="C43" s="44"/>
      <c r="D43" s="44"/>
      <c r="E43" s="44"/>
      <c r="F43" s="44"/>
      <c r="G43" s="44"/>
    </row>
    <row r="44" spans="1:7" x14ac:dyDescent="0.35">
      <c r="A44" s="10">
        <v>19</v>
      </c>
      <c r="B44" s="44"/>
      <c r="C44" s="44"/>
      <c r="D44" s="44"/>
      <c r="E44" s="44"/>
      <c r="F44" s="44"/>
      <c r="G44" s="44"/>
    </row>
    <row r="45" spans="1:7" x14ac:dyDescent="0.35">
      <c r="A45" s="10">
        <v>20</v>
      </c>
      <c r="B45" s="44"/>
      <c r="C45" s="44"/>
      <c r="D45" s="44"/>
      <c r="E45" s="44"/>
      <c r="F45" s="44"/>
      <c r="G45" s="44"/>
    </row>
    <row r="46" spans="1:7" x14ac:dyDescent="0.35">
      <c r="A46" s="55"/>
    </row>
    <row r="47" spans="1:7" ht="19.5" x14ac:dyDescent="0.35">
      <c r="A47" s="6" t="str">
        <f>VLOOKUP(118,Rečnik[],LEFT(General!$B$1,1)+1,FALSE)</f>
        <v>Predavanja koja je održao aplikant</v>
      </c>
      <c r="B47" s="6"/>
      <c r="C47" s="6"/>
      <c r="D47" s="6"/>
      <c r="E47" s="6"/>
      <c r="F47" s="6"/>
      <c r="G47" s="6"/>
    </row>
    <row r="48" spans="1:7" ht="29" x14ac:dyDescent="0.35">
      <c r="A48" s="10" t="s">
        <v>76</v>
      </c>
      <c r="B48" s="10" t="str">
        <f>VLOOKUP(119,Rečnik[],LEFT(General!$B$1,1)+1,FALSE)</f>
        <v>Univerzitet/Fakultet/Institucija</v>
      </c>
      <c r="C48" s="10" t="str">
        <f>VLOOKUP(120,Rečnik[],LEFT(General!$B$1,1)+1,FALSE)</f>
        <v>Tema Predavanja</v>
      </c>
      <c r="D48" s="10" t="str">
        <f>VLOOKUP(111,Rečnik[],LEFT(General!$B$1,1)+1,FALSE)</f>
        <v>Početak</v>
      </c>
      <c r="E48" s="10" t="str">
        <f>VLOOKUP(112,Rečnik[],LEFT(General!$B$1,1)+1,FALSE)</f>
        <v>Završetak</v>
      </c>
      <c r="F48" s="10" t="str">
        <f>VLOOKUP(121,Rečnik[],LEFT(General!$B$1,1)+1,FALSE)</f>
        <v>Broj sati predavanja</v>
      </c>
      <c r="G48" s="10" t="str">
        <f>VLOOKUP(122,Rečnik[],LEFT(General!$B$1,1)+1,FALSE)</f>
        <v>Nivo studija</v>
      </c>
    </row>
    <row r="49" spans="1:7" x14ac:dyDescent="0.35">
      <c r="A49" s="10">
        <v>1</v>
      </c>
      <c r="B49" s="44"/>
      <c r="C49" s="44"/>
      <c r="D49" s="44"/>
      <c r="E49" s="44"/>
      <c r="F49" s="44"/>
      <c r="G49" s="44"/>
    </row>
    <row r="50" spans="1:7" x14ac:dyDescent="0.35">
      <c r="A50" s="10">
        <v>2</v>
      </c>
      <c r="B50" s="44"/>
      <c r="C50" s="44"/>
      <c r="D50" s="44"/>
      <c r="E50" s="44"/>
      <c r="F50" s="44"/>
      <c r="G50" s="44"/>
    </row>
    <row r="51" spans="1:7" x14ac:dyDescent="0.35">
      <c r="A51" s="10">
        <v>3</v>
      </c>
      <c r="B51" s="44"/>
      <c r="C51" s="44"/>
      <c r="D51" s="44"/>
      <c r="E51" s="44"/>
      <c r="F51" s="44"/>
      <c r="G51" s="44"/>
    </row>
    <row r="52" spans="1:7" x14ac:dyDescent="0.35">
      <c r="A52" s="10">
        <v>4</v>
      </c>
      <c r="B52" s="44"/>
      <c r="C52" s="44"/>
      <c r="D52" s="44"/>
      <c r="E52" s="44"/>
      <c r="F52" s="44"/>
      <c r="G52" s="44"/>
    </row>
    <row r="53" spans="1:7" x14ac:dyDescent="0.35">
      <c r="A53" s="10">
        <v>5</v>
      </c>
      <c r="B53" s="44"/>
      <c r="C53" s="44"/>
      <c r="D53" s="44"/>
      <c r="E53" s="44"/>
      <c r="F53" s="44"/>
      <c r="G53" s="44"/>
    </row>
    <row r="54" spans="1:7" x14ac:dyDescent="0.35">
      <c r="A54" s="10">
        <v>6</v>
      </c>
      <c r="B54" s="44"/>
      <c r="C54" s="44"/>
      <c r="D54" s="44"/>
      <c r="E54" s="44"/>
      <c r="F54" s="44"/>
      <c r="G54" s="44"/>
    </row>
    <row r="55" spans="1:7" x14ac:dyDescent="0.35">
      <c r="A55" s="10">
        <v>7</v>
      </c>
      <c r="B55" s="44"/>
      <c r="C55" s="44"/>
      <c r="D55" s="44"/>
      <c r="E55" s="44"/>
      <c r="F55" s="44"/>
      <c r="G55" s="44"/>
    </row>
    <row r="56" spans="1:7" x14ac:dyDescent="0.35">
      <c r="A56" s="10">
        <v>8</v>
      </c>
      <c r="B56" s="44"/>
      <c r="C56" s="44"/>
      <c r="D56" s="44"/>
      <c r="E56" s="44"/>
      <c r="F56" s="44"/>
      <c r="G56" s="44"/>
    </row>
    <row r="57" spans="1:7" x14ac:dyDescent="0.35">
      <c r="A57" s="10">
        <v>9</v>
      </c>
      <c r="B57" s="44"/>
      <c r="C57" s="44"/>
      <c r="D57" s="44"/>
      <c r="E57" s="44"/>
      <c r="F57" s="44"/>
      <c r="G57" s="44"/>
    </row>
    <row r="58" spans="1:7" x14ac:dyDescent="0.35">
      <c r="A58" s="10">
        <v>10</v>
      </c>
      <c r="B58" s="44"/>
      <c r="C58" s="44"/>
      <c r="D58" s="44"/>
      <c r="E58" s="44"/>
      <c r="F58" s="44"/>
      <c r="G58" s="44"/>
    </row>
    <row r="59" spans="1:7" x14ac:dyDescent="0.35">
      <c r="A59" s="10">
        <v>11</v>
      </c>
      <c r="B59" s="44"/>
      <c r="C59" s="44"/>
      <c r="D59" s="44"/>
      <c r="E59" s="44"/>
      <c r="F59" s="44"/>
      <c r="G59" s="44"/>
    </row>
    <row r="60" spans="1:7" x14ac:dyDescent="0.35">
      <c r="A60" s="10">
        <v>12</v>
      </c>
      <c r="B60" s="44"/>
      <c r="C60" s="44"/>
      <c r="D60" s="44"/>
      <c r="E60" s="44"/>
      <c r="F60" s="44"/>
      <c r="G60" s="44"/>
    </row>
    <row r="61" spans="1:7" x14ac:dyDescent="0.35">
      <c r="A61" s="10">
        <v>13</v>
      </c>
      <c r="B61" s="44"/>
      <c r="C61" s="44"/>
      <c r="D61" s="44"/>
      <c r="E61" s="44"/>
      <c r="F61" s="44"/>
      <c r="G61" s="44"/>
    </row>
    <row r="62" spans="1:7" x14ac:dyDescent="0.35">
      <c r="A62" s="10">
        <v>14</v>
      </c>
      <c r="B62" s="44"/>
      <c r="C62" s="44"/>
      <c r="D62" s="44"/>
      <c r="E62" s="44"/>
      <c r="F62" s="44"/>
      <c r="G62" s="44"/>
    </row>
    <row r="63" spans="1:7" x14ac:dyDescent="0.35">
      <c r="A63" s="10">
        <v>15</v>
      </c>
      <c r="B63" s="44"/>
      <c r="C63" s="44"/>
      <c r="D63" s="44"/>
      <c r="E63" s="44"/>
      <c r="F63" s="44"/>
      <c r="G63" s="44"/>
    </row>
    <row r="64" spans="1:7" x14ac:dyDescent="0.35">
      <c r="A64" s="10">
        <v>16</v>
      </c>
      <c r="B64" s="44"/>
      <c r="C64" s="44"/>
      <c r="D64" s="44"/>
      <c r="E64" s="44"/>
      <c r="F64" s="44"/>
      <c r="G64" s="44"/>
    </row>
    <row r="65" spans="1:7" x14ac:dyDescent="0.35">
      <c r="A65" s="10">
        <v>17</v>
      </c>
      <c r="B65" s="44"/>
      <c r="C65" s="44"/>
      <c r="D65" s="44"/>
      <c r="E65" s="44"/>
      <c r="F65" s="44"/>
      <c r="G65" s="44"/>
    </row>
    <row r="66" spans="1:7" x14ac:dyDescent="0.35">
      <c r="A66" s="10">
        <v>18</v>
      </c>
      <c r="B66" s="44"/>
      <c r="C66" s="44"/>
      <c r="D66" s="44"/>
      <c r="E66" s="44"/>
      <c r="F66" s="44"/>
      <c r="G66" s="44"/>
    </row>
    <row r="67" spans="1:7" x14ac:dyDescent="0.35">
      <c r="A67" s="10">
        <v>19</v>
      </c>
      <c r="B67" s="44"/>
      <c r="C67" s="44"/>
      <c r="D67" s="44"/>
      <c r="E67" s="44"/>
      <c r="F67" s="44"/>
      <c r="G67" s="44"/>
    </row>
    <row r="68" spans="1:7" x14ac:dyDescent="0.35">
      <c r="A68" s="10">
        <v>20</v>
      </c>
      <c r="B68" s="44"/>
      <c r="C68" s="44"/>
      <c r="D68" s="44"/>
      <c r="E68" s="44"/>
      <c r="F68" s="44"/>
      <c r="G68" s="44"/>
    </row>
    <row r="70" spans="1:7" ht="19.5" x14ac:dyDescent="0.35">
      <c r="A70" s="6" t="str">
        <f>VLOOKUP(123,Rečnik[],LEFT(General!$B$1,1)+1,FALSE)</f>
        <v>Ostale projektne/programske/portfolio aktivnosti koje je sproveo aplikant</v>
      </c>
      <c r="B70" s="6"/>
      <c r="C70" s="6"/>
      <c r="D70" s="6"/>
      <c r="E70" s="6"/>
    </row>
    <row r="71" spans="1:7" x14ac:dyDescent="0.35">
      <c r="A71" s="10" t="s">
        <v>76</v>
      </c>
      <c r="B71" s="10" t="str">
        <f>VLOOKUP(124,Rečnik[],LEFT(General!$B$1,1)+1,FALSE)</f>
        <v>Pozicija</v>
      </c>
      <c r="C71" s="10" t="str">
        <f>VLOOKUP(125,Rečnik[],LEFT(General!$B$1,1)+1,FALSE)</f>
        <v>Aktivnost</v>
      </c>
      <c r="D71" s="10" t="str">
        <f>VLOOKUP(111,Rečnik[],LEFT(General!$B$1,1)+1,FALSE)</f>
        <v>Početak</v>
      </c>
      <c r="E71" s="10" t="str">
        <f>VLOOKUP(112,Rečnik[],LEFT(General!$B$1,1)+1,FALSE)</f>
        <v>Završetak</v>
      </c>
    </row>
    <row r="72" spans="1:7" x14ac:dyDescent="0.35">
      <c r="A72" s="10">
        <v>1</v>
      </c>
      <c r="B72" s="44"/>
      <c r="C72" s="44"/>
      <c r="D72" s="44"/>
      <c r="E72" s="44"/>
    </row>
    <row r="73" spans="1:7" x14ac:dyDescent="0.35">
      <c r="A73" s="10">
        <v>2</v>
      </c>
      <c r="B73" s="44"/>
      <c r="C73" s="44"/>
      <c r="D73" s="44"/>
      <c r="E73" s="44"/>
    </row>
    <row r="74" spans="1:7" x14ac:dyDescent="0.35">
      <c r="A74" s="10">
        <v>3</v>
      </c>
      <c r="B74" s="44"/>
      <c r="C74" s="44"/>
      <c r="D74" s="44"/>
      <c r="E74" s="44"/>
    </row>
    <row r="75" spans="1:7" x14ac:dyDescent="0.35">
      <c r="A75" s="10">
        <v>4</v>
      </c>
      <c r="B75" s="44"/>
      <c r="C75" s="44"/>
      <c r="D75" s="44"/>
      <c r="E75" s="44"/>
    </row>
    <row r="76" spans="1:7" x14ac:dyDescent="0.35">
      <c r="A76" s="10">
        <v>5</v>
      </c>
      <c r="B76" s="44"/>
      <c r="C76" s="44"/>
      <c r="D76" s="44"/>
      <c r="E76" s="44"/>
    </row>
    <row r="77" spans="1:7" x14ac:dyDescent="0.35">
      <c r="A77" s="10">
        <v>6</v>
      </c>
      <c r="B77" s="44"/>
      <c r="C77" s="44"/>
      <c r="D77" s="44"/>
      <c r="E77" s="44"/>
    </row>
    <row r="78" spans="1:7" x14ac:dyDescent="0.35">
      <c r="A78" s="10">
        <v>7</v>
      </c>
      <c r="B78" s="44"/>
      <c r="C78" s="44"/>
      <c r="D78" s="44"/>
      <c r="E78" s="44"/>
    </row>
    <row r="79" spans="1:7" x14ac:dyDescent="0.35">
      <c r="A79" s="10">
        <v>8</v>
      </c>
      <c r="B79" s="44"/>
      <c r="C79" s="44"/>
      <c r="D79" s="44"/>
      <c r="E79" s="44"/>
    </row>
    <row r="80" spans="1:7" x14ac:dyDescent="0.35">
      <c r="A80" s="10">
        <v>9</v>
      </c>
      <c r="B80" s="44"/>
      <c r="C80" s="44"/>
      <c r="D80" s="44"/>
      <c r="E80" s="44"/>
    </row>
    <row r="81" spans="1:5" x14ac:dyDescent="0.35">
      <c r="A81" s="10">
        <v>10</v>
      </c>
      <c r="B81" s="44"/>
      <c r="C81" s="44"/>
      <c r="D81" s="44"/>
      <c r="E81" s="44"/>
    </row>
    <row r="82" spans="1:5" x14ac:dyDescent="0.35">
      <c r="A82" s="10">
        <v>11</v>
      </c>
      <c r="B82" s="44"/>
      <c r="C82" s="44"/>
      <c r="D82" s="44"/>
      <c r="E82" s="44"/>
    </row>
    <row r="83" spans="1:5" x14ac:dyDescent="0.35">
      <c r="A83" s="10">
        <v>12</v>
      </c>
      <c r="B83" s="44"/>
      <c r="C83" s="44"/>
      <c r="D83" s="44"/>
      <c r="E83" s="44"/>
    </row>
    <row r="84" spans="1:5" x14ac:dyDescent="0.35">
      <c r="A84" s="10">
        <v>13</v>
      </c>
      <c r="B84" s="44"/>
      <c r="C84" s="44"/>
      <c r="D84" s="44"/>
      <c r="E84" s="44"/>
    </row>
    <row r="85" spans="1:5" x14ac:dyDescent="0.35">
      <c r="A85" s="10">
        <v>14</v>
      </c>
      <c r="B85" s="44"/>
      <c r="C85" s="44"/>
      <c r="D85" s="44"/>
      <c r="E85" s="44"/>
    </row>
    <row r="86" spans="1:5" x14ac:dyDescent="0.35">
      <c r="A86" s="10">
        <v>15</v>
      </c>
      <c r="B86" s="44"/>
      <c r="C86" s="44"/>
      <c r="D86" s="44"/>
      <c r="E86" s="44"/>
    </row>
    <row r="87" spans="1:5" x14ac:dyDescent="0.35">
      <c r="A87" s="10">
        <v>16</v>
      </c>
      <c r="B87" s="44"/>
      <c r="C87" s="44"/>
      <c r="D87" s="44"/>
      <c r="E87" s="44"/>
    </row>
    <row r="88" spans="1:5" x14ac:dyDescent="0.35">
      <c r="A88" s="10">
        <v>17</v>
      </c>
      <c r="B88" s="44"/>
      <c r="C88" s="44"/>
      <c r="D88" s="44"/>
      <c r="E88" s="44"/>
    </row>
    <row r="89" spans="1:5" x14ac:dyDescent="0.35">
      <c r="A89" s="10">
        <v>18</v>
      </c>
      <c r="B89" s="44"/>
      <c r="C89" s="44"/>
      <c r="D89" s="44"/>
      <c r="E89" s="44"/>
    </row>
    <row r="90" spans="1:5" x14ac:dyDescent="0.35">
      <c r="A90" s="10">
        <v>19</v>
      </c>
      <c r="B90" s="44"/>
      <c r="C90" s="44"/>
      <c r="D90" s="44"/>
      <c r="E90" s="44"/>
    </row>
    <row r="91" spans="1:5" x14ac:dyDescent="0.35">
      <c r="A91" s="10">
        <v>20</v>
      </c>
      <c r="B91" s="44"/>
      <c r="C91" s="44"/>
      <c r="D91" s="44"/>
      <c r="E91" s="44"/>
    </row>
  </sheetData>
  <sheetProtection algorithmName="SHA-512" hashValue="2Q56qXKghVnPY2a7yEX1x/O3OI2k6OJ+JzCPkC3/9NaZk/wpp4nhE8VDoAob4FMkuWl/ruoz3BtJvV+O4MlTjQ==" saltValue="G/V2meYzmN4hPRpnHZIpZ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547E-7962-462A-86A7-E2468054F61E}">
  <dimension ref="A1:G68"/>
  <sheetViews>
    <sheetView showGridLines="0" workbookViewId="0"/>
  </sheetViews>
  <sheetFormatPr defaultRowHeight="14.5" x14ac:dyDescent="0.35"/>
  <cols>
    <col min="1" max="1" width="5.26953125" style="14" customWidth="1"/>
    <col min="2" max="2" width="28.54296875" style="14" customWidth="1"/>
    <col min="3" max="3" width="27.6328125" style="14" customWidth="1"/>
    <col min="4" max="4" width="19.6328125" style="14" customWidth="1"/>
    <col min="5" max="5" width="25.26953125" style="14" customWidth="1"/>
    <col min="6" max="6" width="28.90625" style="14" customWidth="1"/>
    <col min="7" max="7" width="28.6328125" style="14" customWidth="1"/>
    <col min="8" max="16384" width="8.7265625" style="14"/>
  </cols>
  <sheetData>
    <row r="1" spans="1:7" ht="20" thickBot="1" x14ac:dyDescent="0.4">
      <c r="A1" s="4" t="str">
        <f>VLOOKUP(126,Rečnik[],LEFT(General!$B$1,1)+1,FALSE)</f>
        <v>Treninzi koje je pohađao aplikant</v>
      </c>
      <c r="B1" s="4"/>
      <c r="C1" s="4"/>
      <c r="D1" s="56" t="str">
        <f>_xlfn.IFNA(_xlfn.XLOOKUP(General!B20,Prevodi[Nivo],Prevodi[Ostalo],,0),"")</f>
        <v/>
      </c>
      <c r="E1" s="4"/>
      <c r="F1" s="4"/>
      <c r="G1" s="4"/>
    </row>
    <row r="2" spans="1:7" ht="15" thickTop="1" x14ac:dyDescent="0.35">
      <c r="A2" s="10" t="s">
        <v>76</v>
      </c>
      <c r="B2" s="10" t="str">
        <f>VLOOKUP(127,Rečnik[],LEFT(General!$B$1,1)+1,FALSE)</f>
        <v>Organizator treninga</v>
      </c>
      <c r="C2" s="10" t="str">
        <f>VLOOKUP(128,Rečnik[],LEFT(General!$B$1,1)+1,FALSE)</f>
        <v>Sadržaj treninga</v>
      </c>
      <c r="D2" s="10" t="str">
        <f>VLOOKUP(29,Rečnik[],LEFT(General!$B$1,1)+1,FALSE)</f>
        <v>Datum završetka</v>
      </c>
      <c r="E2" s="10" t="str">
        <f>VLOOKUP(129,Rečnik[],LEFT(General!$B$1,1)+1,FALSE)</f>
        <v>Broj sati</v>
      </c>
      <c r="F2" s="10" t="str">
        <f>VLOOKUP(130,Rečnik[],LEFT(General!$B$1,1)+1,FALSE)</f>
        <v>Teorija</v>
      </c>
      <c r="G2" s="10" t="str">
        <f>VLOOKUP(53,Rečnik[],LEFT(General!$B$1,1)+1,FALSE)</f>
        <v>Praksa</v>
      </c>
    </row>
    <row r="3" spans="1:7" x14ac:dyDescent="0.35">
      <c r="A3" s="10">
        <v>1</v>
      </c>
      <c r="B3" s="44"/>
      <c r="C3" s="44"/>
      <c r="D3" s="44"/>
      <c r="E3" s="44"/>
      <c r="F3" s="44"/>
      <c r="G3" s="44"/>
    </row>
    <row r="4" spans="1:7" x14ac:dyDescent="0.35">
      <c r="A4" s="10">
        <v>2</v>
      </c>
      <c r="B4" s="44"/>
      <c r="C4" s="44"/>
      <c r="D4" s="44"/>
      <c r="E4" s="44"/>
      <c r="F4" s="44"/>
      <c r="G4" s="44"/>
    </row>
    <row r="5" spans="1:7" x14ac:dyDescent="0.35">
      <c r="A5" s="10">
        <v>3</v>
      </c>
      <c r="B5" s="44"/>
      <c r="C5" s="44"/>
      <c r="D5" s="44"/>
      <c r="E5" s="44"/>
      <c r="F5" s="44"/>
      <c r="G5" s="44"/>
    </row>
    <row r="6" spans="1:7" x14ac:dyDescent="0.35">
      <c r="A6" s="10">
        <v>4</v>
      </c>
      <c r="B6" s="44"/>
      <c r="C6" s="44"/>
      <c r="D6" s="44"/>
      <c r="E6" s="44"/>
      <c r="F6" s="44"/>
      <c r="G6" s="44"/>
    </row>
    <row r="7" spans="1:7" x14ac:dyDescent="0.35">
      <c r="A7" s="10">
        <v>5</v>
      </c>
      <c r="B7" s="44"/>
      <c r="C7" s="44"/>
      <c r="D7" s="44"/>
      <c r="E7" s="44"/>
      <c r="F7" s="44"/>
      <c r="G7" s="44"/>
    </row>
    <row r="8" spans="1:7" x14ac:dyDescent="0.35">
      <c r="A8" s="10">
        <v>6</v>
      </c>
      <c r="B8" s="44"/>
      <c r="C8" s="44"/>
      <c r="D8" s="44"/>
      <c r="E8" s="44"/>
      <c r="F8" s="44"/>
      <c r="G8" s="44"/>
    </row>
    <row r="9" spans="1:7" x14ac:dyDescent="0.35">
      <c r="A9" s="10">
        <v>7</v>
      </c>
      <c r="B9" s="44"/>
      <c r="C9" s="44"/>
      <c r="D9" s="44"/>
      <c r="E9" s="44"/>
      <c r="F9" s="44"/>
      <c r="G9" s="44"/>
    </row>
    <row r="10" spans="1:7" x14ac:dyDescent="0.35">
      <c r="A10" s="10">
        <v>8</v>
      </c>
      <c r="B10" s="44"/>
      <c r="C10" s="44"/>
      <c r="D10" s="44"/>
      <c r="E10" s="44"/>
      <c r="F10" s="44"/>
      <c r="G10" s="44"/>
    </row>
    <row r="11" spans="1:7" x14ac:dyDescent="0.35">
      <c r="A11" s="10">
        <v>9</v>
      </c>
      <c r="B11" s="44"/>
      <c r="C11" s="44"/>
      <c r="D11" s="44"/>
      <c r="E11" s="44"/>
      <c r="F11" s="44"/>
      <c r="G11" s="44"/>
    </row>
    <row r="12" spans="1:7" x14ac:dyDescent="0.35">
      <c r="A12" s="10">
        <v>10</v>
      </c>
      <c r="B12" s="44"/>
      <c r="C12" s="44"/>
      <c r="D12" s="44"/>
      <c r="E12" s="44"/>
      <c r="F12" s="44"/>
      <c r="G12" s="44"/>
    </row>
    <row r="13" spans="1:7" x14ac:dyDescent="0.35">
      <c r="A13" s="10">
        <v>11</v>
      </c>
      <c r="B13" s="44"/>
      <c r="C13" s="44"/>
      <c r="D13" s="44"/>
      <c r="E13" s="44"/>
      <c r="F13" s="44"/>
      <c r="G13" s="44"/>
    </row>
    <row r="14" spans="1:7" x14ac:dyDescent="0.35">
      <c r="A14" s="10">
        <v>12</v>
      </c>
      <c r="B14" s="44"/>
      <c r="C14" s="44"/>
      <c r="D14" s="44"/>
      <c r="E14" s="44"/>
      <c r="F14" s="44"/>
      <c r="G14" s="44"/>
    </row>
    <row r="15" spans="1:7" x14ac:dyDescent="0.35">
      <c r="A15" s="10">
        <v>13</v>
      </c>
      <c r="B15" s="44"/>
      <c r="C15" s="44"/>
      <c r="D15" s="44"/>
      <c r="E15" s="44"/>
      <c r="F15" s="44"/>
      <c r="G15" s="44"/>
    </row>
    <row r="16" spans="1:7" x14ac:dyDescent="0.35">
      <c r="A16" s="10">
        <v>14</v>
      </c>
      <c r="B16" s="44"/>
      <c r="C16" s="44"/>
      <c r="D16" s="44"/>
      <c r="E16" s="44"/>
      <c r="F16" s="44"/>
      <c r="G16" s="44"/>
    </row>
    <row r="17" spans="1:7" x14ac:dyDescent="0.35">
      <c r="A17" s="10">
        <v>15</v>
      </c>
      <c r="B17" s="44"/>
      <c r="C17" s="44"/>
      <c r="D17" s="44"/>
      <c r="E17" s="44"/>
      <c r="F17" s="44"/>
      <c r="G17" s="44"/>
    </row>
    <row r="18" spans="1:7" x14ac:dyDescent="0.35">
      <c r="A18" s="10">
        <v>16</v>
      </c>
      <c r="B18" s="44"/>
      <c r="C18" s="44"/>
      <c r="D18" s="44"/>
      <c r="E18" s="44"/>
      <c r="F18" s="44"/>
      <c r="G18" s="44"/>
    </row>
    <row r="19" spans="1:7" x14ac:dyDescent="0.35">
      <c r="A19" s="10">
        <v>17</v>
      </c>
      <c r="B19" s="44"/>
      <c r="C19" s="44"/>
      <c r="D19" s="44"/>
      <c r="E19" s="44"/>
      <c r="F19" s="44"/>
      <c r="G19" s="44"/>
    </row>
    <row r="20" spans="1:7" x14ac:dyDescent="0.35">
      <c r="A20" s="10">
        <v>18</v>
      </c>
      <c r="B20" s="44"/>
      <c r="C20" s="44"/>
      <c r="D20" s="44"/>
      <c r="E20" s="44"/>
      <c r="F20" s="44"/>
      <c r="G20" s="44"/>
    </row>
    <row r="21" spans="1:7" x14ac:dyDescent="0.35">
      <c r="A21" s="10">
        <v>19</v>
      </c>
      <c r="B21" s="44"/>
      <c r="C21" s="44"/>
      <c r="D21" s="44"/>
      <c r="E21" s="44"/>
      <c r="F21" s="44"/>
      <c r="G21" s="44"/>
    </row>
    <row r="22" spans="1:7" x14ac:dyDescent="0.35">
      <c r="A22" s="10">
        <v>20</v>
      </c>
      <c r="B22" s="44"/>
      <c r="C22" s="44"/>
      <c r="D22" s="44"/>
      <c r="E22" s="44"/>
      <c r="F22" s="44"/>
      <c r="G22" s="44"/>
    </row>
    <row r="23" spans="1:7" x14ac:dyDescent="0.35">
      <c r="A23" s="55"/>
      <c r="D23" s="57"/>
    </row>
    <row r="24" spans="1:7" ht="20" thickBot="1" x14ac:dyDescent="0.4">
      <c r="A24" s="4" t="str">
        <f>VLOOKUP(131,Rečnik[],LEFT(General!$B$1,1)+1,FALSE)</f>
        <v>Profesionalna sertifikacija</v>
      </c>
      <c r="B24" s="4"/>
      <c r="C24" s="4"/>
      <c r="D24" s="4"/>
      <c r="E24" s="4"/>
      <c r="F24" s="4"/>
      <c r="G24" s="4"/>
    </row>
    <row r="25" spans="1:7" ht="15" thickTop="1" x14ac:dyDescent="0.35">
      <c r="A25" s="10" t="s">
        <v>76</v>
      </c>
      <c r="B25" s="10" t="str">
        <f>VLOOKUP(132,Rečnik[],LEFT(General!$B$1,1)+1,FALSE)</f>
        <v>Sertifikaciono telo</v>
      </c>
      <c r="C25" s="10" t="str">
        <f>VLOOKUP(133,Rečnik[],LEFT(General!$B$1,1)+1,FALSE)</f>
        <v>Naziv sertifikata</v>
      </c>
      <c r="D25" s="10" t="str">
        <f>VLOOKUP(129,Rečnik[],LEFT(General!$B$1,1)+1,FALSE)</f>
        <v>Broj sati</v>
      </c>
      <c r="E25" s="10" t="str">
        <f>VLOOKUP(17,Rečnik[],LEFT(General!$B$1,1)+1,FALSE)</f>
        <v>Broj sertifikata</v>
      </c>
      <c r="F25" s="10" t="str">
        <f>VLOOKUP(18,Rečnik[],LEFT(General!$B$1,1)+1,FALSE)</f>
        <v>Validan do</v>
      </c>
      <c r="G25" s="10" t="str">
        <f>VLOOKUP(134,Rečnik[],LEFT(General!$B$1,1)+1,FALSE)</f>
        <v>Elementi kompetencija</v>
      </c>
    </row>
    <row r="26" spans="1:7" x14ac:dyDescent="0.35">
      <c r="A26" s="10">
        <v>1</v>
      </c>
      <c r="B26" s="44"/>
      <c r="C26" s="44"/>
      <c r="D26" s="44"/>
      <c r="E26" s="44"/>
      <c r="F26" s="44"/>
      <c r="G26" s="44"/>
    </row>
    <row r="27" spans="1:7" x14ac:dyDescent="0.35">
      <c r="A27" s="10">
        <v>2</v>
      </c>
      <c r="B27" s="44"/>
      <c r="C27" s="44"/>
      <c r="D27" s="44"/>
      <c r="E27" s="44"/>
      <c r="F27" s="44"/>
      <c r="G27" s="44"/>
    </row>
    <row r="28" spans="1:7" x14ac:dyDescent="0.35">
      <c r="A28" s="10">
        <v>3</v>
      </c>
      <c r="B28" s="44"/>
      <c r="C28" s="44"/>
      <c r="D28" s="44"/>
      <c r="E28" s="44"/>
      <c r="F28" s="44"/>
      <c r="G28" s="44"/>
    </row>
    <row r="29" spans="1:7" x14ac:dyDescent="0.35">
      <c r="A29" s="10">
        <v>4</v>
      </c>
      <c r="B29" s="44"/>
      <c r="C29" s="44"/>
      <c r="D29" s="44"/>
      <c r="E29" s="44"/>
      <c r="F29" s="44"/>
      <c r="G29" s="44"/>
    </row>
    <row r="30" spans="1:7" x14ac:dyDescent="0.35">
      <c r="A30" s="10">
        <v>5</v>
      </c>
      <c r="B30" s="44"/>
      <c r="C30" s="44"/>
      <c r="D30" s="44"/>
      <c r="E30" s="44"/>
      <c r="F30" s="44"/>
      <c r="G30" s="44"/>
    </row>
    <row r="31" spans="1:7" x14ac:dyDescent="0.35">
      <c r="A31" s="10">
        <v>6</v>
      </c>
      <c r="B31" s="44"/>
      <c r="C31" s="44"/>
      <c r="D31" s="44"/>
      <c r="E31" s="44"/>
      <c r="F31" s="44"/>
      <c r="G31" s="44"/>
    </row>
    <row r="32" spans="1:7" x14ac:dyDescent="0.35">
      <c r="A32" s="10">
        <v>7</v>
      </c>
      <c r="B32" s="44"/>
      <c r="C32" s="44"/>
      <c r="D32" s="44"/>
      <c r="E32" s="44"/>
      <c r="F32" s="44"/>
      <c r="G32" s="44"/>
    </row>
    <row r="33" spans="1:7" x14ac:dyDescent="0.35">
      <c r="A33" s="10">
        <v>8</v>
      </c>
      <c r="B33" s="44"/>
      <c r="C33" s="44"/>
      <c r="D33" s="44"/>
      <c r="E33" s="44"/>
      <c r="F33" s="44"/>
      <c r="G33" s="44"/>
    </row>
    <row r="34" spans="1:7" x14ac:dyDescent="0.35">
      <c r="A34" s="10">
        <v>9</v>
      </c>
      <c r="B34" s="44"/>
      <c r="C34" s="44"/>
      <c r="D34" s="44"/>
      <c r="E34" s="44"/>
      <c r="F34" s="44"/>
      <c r="G34" s="44"/>
    </row>
    <row r="35" spans="1:7" x14ac:dyDescent="0.35">
      <c r="A35" s="10">
        <v>10</v>
      </c>
      <c r="B35" s="44"/>
      <c r="C35" s="44"/>
      <c r="D35" s="44"/>
      <c r="E35" s="44"/>
      <c r="F35" s="44"/>
      <c r="G35" s="44"/>
    </row>
    <row r="36" spans="1:7" x14ac:dyDescent="0.35">
      <c r="A36" s="10">
        <v>11</v>
      </c>
      <c r="B36" s="44"/>
      <c r="C36" s="44"/>
      <c r="D36" s="44"/>
      <c r="E36" s="44"/>
      <c r="F36" s="44"/>
      <c r="G36" s="44"/>
    </row>
    <row r="37" spans="1:7" x14ac:dyDescent="0.35">
      <c r="A37" s="10">
        <v>12</v>
      </c>
      <c r="B37" s="44"/>
      <c r="C37" s="44"/>
      <c r="D37" s="44"/>
      <c r="E37" s="44"/>
      <c r="F37" s="44"/>
      <c r="G37" s="44"/>
    </row>
    <row r="38" spans="1:7" x14ac:dyDescent="0.35">
      <c r="A38" s="10">
        <v>13</v>
      </c>
      <c r="B38" s="44"/>
      <c r="C38" s="44"/>
      <c r="D38" s="44"/>
      <c r="E38" s="44"/>
      <c r="F38" s="44"/>
      <c r="G38" s="44"/>
    </row>
    <row r="39" spans="1:7" x14ac:dyDescent="0.35">
      <c r="A39" s="10">
        <v>14</v>
      </c>
      <c r="B39" s="44"/>
      <c r="C39" s="44"/>
      <c r="D39" s="44"/>
      <c r="E39" s="44"/>
      <c r="F39" s="44"/>
      <c r="G39" s="44"/>
    </row>
    <row r="40" spans="1:7" x14ac:dyDescent="0.35">
      <c r="A40" s="10">
        <v>15</v>
      </c>
      <c r="B40" s="44"/>
      <c r="C40" s="44"/>
      <c r="D40" s="44"/>
      <c r="E40" s="44"/>
      <c r="F40" s="44"/>
      <c r="G40" s="44"/>
    </row>
    <row r="41" spans="1:7" x14ac:dyDescent="0.35">
      <c r="A41" s="10">
        <v>16</v>
      </c>
      <c r="B41" s="44"/>
      <c r="C41" s="44"/>
      <c r="D41" s="44"/>
      <c r="E41" s="44"/>
      <c r="F41" s="44"/>
      <c r="G41" s="44"/>
    </row>
    <row r="42" spans="1:7" x14ac:dyDescent="0.35">
      <c r="A42" s="10">
        <v>17</v>
      </c>
      <c r="B42" s="44"/>
      <c r="C42" s="44"/>
      <c r="D42" s="44"/>
      <c r="E42" s="44"/>
      <c r="F42" s="44"/>
      <c r="G42" s="44"/>
    </row>
    <row r="43" spans="1:7" x14ac:dyDescent="0.35">
      <c r="A43" s="10">
        <v>18</v>
      </c>
      <c r="B43" s="44"/>
      <c r="C43" s="44"/>
      <c r="D43" s="44"/>
      <c r="E43" s="44"/>
      <c r="F43" s="44"/>
      <c r="G43" s="44"/>
    </row>
    <row r="44" spans="1:7" x14ac:dyDescent="0.35">
      <c r="A44" s="10">
        <v>19</v>
      </c>
      <c r="B44" s="44"/>
      <c r="C44" s="44"/>
      <c r="D44" s="44"/>
      <c r="E44" s="44"/>
      <c r="F44" s="44"/>
      <c r="G44" s="44"/>
    </row>
    <row r="45" spans="1:7" x14ac:dyDescent="0.35">
      <c r="A45" s="10">
        <v>20</v>
      </c>
      <c r="B45" s="44"/>
      <c r="C45" s="44"/>
      <c r="D45" s="44"/>
      <c r="E45" s="44"/>
      <c r="F45" s="44"/>
      <c r="G45" s="44"/>
    </row>
    <row r="46" spans="1:7" x14ac:dyDescent="0.35">
      <c r="A46" s="55"/>
      <c r="F46" s="57"/>
    </row>
    <row r="47" spans="1:7" ht="20" thickBot="1" x14ac:dyDescent="0.4">
      <c r="A47" s="4" t="str">
        <f>VLOOKUP(135,Rečnik[],LEFT(General!$B$1,1)+1,FALSE)</f>
        <v>Ostale aktivnosti</v>
      </c>
      <c r="B47" s="4"/>
      <c r="C47" s="4"/>
      <c r="D47" s="4"/>
      <c r="E47" s="4"/>
      <c r="F47" s="4"/>
    </row>
    <row r="48" spans="1:7" ht="15" thickTop="1" x14ac:dyDescent="0.35">
      <c r="A48" s="10" t="s">
        <v>76</v>
      </c>
      <c r="B48" s="10" t="str">
        <f>VLOOKUP(136,Rečnik[],LEFT(General!$B$1,1)+1,FALSE)</f>
        <v>Naziv aktivnosti</v>
      </c>
      <c r="C48" s="10" t="str">
        <f>VLOOKUP(129,Rečnik[],LEFT(General!$B$1,1)+1,FALSE)</f>
        <v>Broj sati</v>
      </c>
      <c r="D48" s="10" t="str">
        <f>VLOOKUP(17,Rečnik[],LEFT(General!$B$1,1)+1,FALSE)</f>
        <v>Broj sertifikata</v>
      </c>
      <c r="E48" s="10" t="str">
        <f>VLOOKUP(137,Rečnik[],LEFT(General!$B$1,1)+1,FALSE)</f>
        <v>Datum sertifikata</v>
      </c>
      <c r="F48" s="10" t="str">
        <f>VLOOKUP(134,Rečnik[],LEFT(General!$B$1,1)+1,FALSE)</f>
        <v>Elementi kompetencija</v>
      </c>
    </row>
    <row r="49" spans="1:6" x14ac:dyDescent="0.35">
      <c r="A49" s="10">
        <v>1</v>
      </c>
      <c r="B49" s="44"/>
      <c r="C49" s="44"/>
      <c r="D49" s="44"/>
      <c r="E49" s="44"/>
      <c r="F49" s="44"/>
    </row>
    <row r="50" spans="1:6" x14ac:dyDescent="0.35">
      <c r="A50" s="10">
        <v>2</v>
      </c>
      <c r="B50" s="44"/>
      <c r="C50" s="44"/>
      <c r="D50" s="44"/>
      <c r="E50" s="44"/>
      <c r="F50" s="44"/>
    </row>
    <row r="51" spans="1:6" x14ac:dyDescent="0.35">
      <c r="A51" s="10">
        <v>3</v>
      </c>
      <c r="B51" s="44"/>
      <c r="C51" s="44"/>
      <c r="D51" s="44"/>
      <c r="E51" s="44"/>
      <c r="F51" s="44"/>
    </row>
    <row r="52" spans="1:6" x14ac:dyDescent="0.35">
      <c r="A52" s="10">
        <v>4</v>
      </c>
      <c r="B52" s="44"/>
      <c r="C52" s="44"/>
      <c r="D52" s="44"/>
      <c r="E52" s="44"/>
      <c r="F52" s="44"/>
    </row>
    <row r="53" spans="1:6" x14ac:dyDescent="0.35">
      <c r="A53" s="10">
        <v>5</v>
      </c>
      <c r="B53" s="44"/>
      <c r="C53" s="44"/>
      <c r="D53" s="44"/>
      <c r="E53" s="44"/>
      <c r="F53" s="44"/>
    </row>
    <row r="54" spans="1:6" x14ac:dyDescent="0.35">
      <c r="A54" s="10">
        <v>6</v>
      </c>
      <c r="B54" s="44"/>
      <c r="C54" s="44"/>
      <c r="D54" s="44"/>
      <c r="E54" s="44"/>
      <c r="F54" s="44"/>
    </row>
    <row r="55" spans="1:6" x14ac:dyDescent="0.35">
      <c r="A55" s="10">
        <v>7</v>
      </c>
      <c r="B55" s="44"/>
      <c r="C55" s="44"/>
      <c r="D55" s="44"/>
      <c r="E55" s="44"/>
      <c r="F55" s="44"/>
    </row>
    <row r="56" spans="1:6" x14ac:dyDescent="0.35">
      <c r="A56" s="10">
        <v>8</v>
      </c>
      <c r="B56" s="44"/>
      <c r="C56" s="44"/>
      <c r="D56" s="44"/>
      <c r="E56" s="44"/>
      <c r="F56" s="44"/>
    </row>
    <row r="57" spans="1:6" x14ac:dyDescent="0.35">
      <c r="A57" s="10">
        <v>9</v>
      </c>
      <c r="B57" s="44"/>
      <c r="C57" s="44"/>
      <c r="D57" s="44"/>
      <c r="E57" s="44"/>
      <c r="F57" s="44"/>
    </row>
    <row r="58" spans="1:6" x14ac:dyDescent="0.35">
      <c r="A58" s="10">
        <v>10</v>
      </c>
      <c r="B58" s="44"/>
      <c r="C58" s="44"/>
      <c r="D58" s="44"/>
      <c r="E58" s="44"/>
      <c r="F58" s="44"/>
    </row>
    <row r="59" spans="1:6" x14ac:dyDescent="0.35">
      <c r="A59" s="10">
        <v>11</v>
      </c>
      <c r="B59" s="44"/>
      <c r="C59" s="44"/>
      <c r="D59" s="44"/>
      <c r="E59" s="44"/>
      <c r="F59" s="44"/>
    </row>
    <row r="60" spans="1:6" x14ac:dyDescent="0.35">
      <c r="A60" s="10">
        <v>12</v>
      </c>
      <c r="B60" s="44"/>
      <c r="C60" s="44"/>
      <c r="D60" s="44"/>
      <c r="E60" s="44"/>
      <c r="F60" s="44"/>
    </row>
    <row r="61" spans="1:6" x14ac:dyDescent="0.35">
      <c r="A61" s="10">
        <v>13</v>
      </c>
      <c r="B61" s="44"/>
      <c r="C61" s="44"/>
      <c r="D61" s="44"/>
      <c r="E61" s="44"/>
      <c r="F61" s="44"/>
    </row>
    <row r="62" spans="1:6" x14ac:dyDescent="0.35">
      <c r="A62" s="10">
        <v>14</v>
      </c>
      <c r="B62" s="44"/>
      <c r="C62" s="44"/>
      <c r="D62" s="44"/>
      <c r="E62" s="44"/>
      <c r="F62" s="44"/>
    </row>
    <row r="63" spans="1:6" x14ac:dyDescent="0.35">
      <c r="A63" s="10">
        <v>15</v>
      </c>
      <c r="B63" s="44"/>
      <c r="C63" s="44"/>
      <c r="D63" s="44"/>
      <c r="E63" s="44"/>
      <c r="F63" s="44"/>
    </row>
    <row r="64" spans="1:6" x14ac:dyDescent="0.35">
      <c r="A64" s="10">
        <v>16</v>
      </c>
      <c r="B64" s="44"/>
      <c r="C64" s="44"/>
      <c r="D64" s="44"/>
      <c r="E64" s="44"/>
      <c r="F64" s="44"/>
    </row>
    <row r="65" spans="1:6" x14ac:dyDescent="0.35">
      <c r="A65" s="10">
        <v>17</v>
      </c>
      <c r="B65" s="44"/>
      <c r="C65" s="44"/>
      <c r="D65" s="44"/>
      <c r="E65" s="44"/>
      <c r="F65" s="44"/>
    </row>
    <row r="66" spans="1:6" x14ac:dyDescent="0.35">
      <c r="A66" s="10">
        <v>18</v>
      </c>
      <c r="B66" s="44"/>
      <c r="C66" s="44"/>
      <c r="D66" s="44"/>
      <c r="E66" s="44"/>
      <c r="F66" s="44"/>
    </row>
    <row r="67" spans="1:6" x14ac:dyDescent="0.35">
      <c r="A67" s="10">
        <v>19</v>
      </c>
      <c r="B67" s="44"/>
      <c r="C67" s="44"/>
      <c r="D67" s="44"/>
      <c r="E67" s="44"/>
      <c r="F67" s="44"/>
    </row>
    <row r="68" spans="1:6" x14ac:dyDescent="0.35">
      <c r="A68" s="10">
        <v>20</v>
      </c>
      <c r="B68" s="44"/>
      <c r="C68" s="44"/>
      <c r="D68" s="44"/>
      <c r="E68" s="44"/>
      <c r="F68" s="44"/>
    </row>
  </sheetData>
  <sheetProtection algorithmName="SHA-512" hashValue="4k8hbI/0DDRwidkT24HT+iLKWKuOyVUqjLITuhl6iDCkQvJ2h5j0It2jNT8Istl6/lFkMW0ldJfsyTI+uZ8B3w==" saltValue="TCM9YejiwHCOLi82xccBH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Šifarnik</vt:lpstr>
      <vt:lpstr>Rečnik</vt:lpstr>
      <vt:lpstr>Verzije</vt:lpstr>
      <vt:lpstr>General</vt:lpstr>
      <vt:lpstr>Self-Assessment</vt:lpstr>
      <vt:lpstr>PPP</vt:lpstr>
      <vt:lpstr>Project Complexity</vt:lpstr>
      <vt:lpstr>Conducted Activities</vt:lpstr>
      <vt:lpstr>Attended Activities</vt:lpstr>
      <vt:lpstr>References</vt:lpstr>
      <vt:lpstr>ListaDaNe</vt:lpstr>
      <vt:lpstr>ListaNivoa</vt:lpstr>
      <vt:lpstr>ListaTipovaPrijave</vt:lpstr>
      <vt:lpstr>ListaTipovaProjekata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Kozomara</dc:creator>
  <cp:lastModifiedBy>Miloš Kozomara</cp:lastModifiedBy>
  <dcterms:created xsi:type="dcterms:W3CDTF">2024-07-27T09:24:06Z</dcterms:created>
  <dcterms:modified xsi:type="dcterms:W3CDTF">2025-09-24T21:44:55Z</dcterms:modified>
</cp:coreProperties>
</file>